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defaultThemeVersion="202300"/>
  <mc:AlternateContent xmlns:mc="http://schemas.openxmlformats.org/markup-compatibility/2006">
    <mc:Choice Requires="x15">
      <x15ac:absPath xmlns:x15ac="http://schemas.microsoft.com/office/spreadsheetml/2010/11/ac" url="/Users/pimvandijk/Downloads/"/>
    </mc:Choice>
  </mc:AlternateContent>
  <xr:revisionPtr revIDLastSave="0" documentId="8_{0707BE20-574E-7F42-A430-AF4438CCEAE8}" xr6:coauthVersionLast="47" xr6:coauthVersionMax="47" xr10:uidLastSave="{00000000-0000-0000-0000-000000000000}"/>
  <bookViews>
    <workbookView xWindow="35460" yWindow="-7900" windowWidth="28800" windowHeight="17500" activeTab="3" xr2:uid="{00000000-000D-0000-FFFF-FFFF00000000}"/>
  </bookViews>
  <sheets>
    <sheet name="0. Uitleg" sheetId="1" r:id="rId1"/>
    <sheet name="1. Invulsheet medewerkers" sheetId="2" r:id="rId2"/>
    <sheet name="2a. Productieve uren" sheetId="3" r:id="rId3"/>
    <sheet name="2b. Kosten mdw." sheetId="4" r:id="rId4"/>
    <sheet name="2c. Omzet mdw." sheetId="5" r:id="rId5"/>
    <sheet name="3. Begroting" sheetId="6" r:id="rId6"/>
    <sheet name="KPI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4" l="1"/>
  <c r="D30" i="4"/>
  <c r="E30" i="4"/>
  <c r="F30" i="4"/>
  <c r="G30" i="4"/>
  <c r="H30" i="4"/>
  <c r="I30" i="4"/>
  <c r="J30" i="4"/>
  <c r="K30" i="4"/>
  <c r="L30" i="4"/>
  <c r="M30" i="4"/>
  <c r="N30" i="4"/>
  <c r="O30" i="4"/>
  <c r="N31" i="6"/>
  <c r="M31" i="6"/>
  <c r="L31" i="6"/>
  <c r="K31" i="6"/>
  <c r="J31" i="6"/>
  <c r="I31" i="6"/>
  <c r="H31" i="6"/>
  <c r="G31" i="6"/>
  <c r="O31" i="6" s="1"/>
  <c r="F31" i="6"/>
  <c r="E31" i="6"/>
  <c r="D31" i="6"/>
  <c r="C31" i="6"/>
  <c r="O30" i="6"/>
  <c r="O29" i="6"/>
  <c r="O28" i="6"/>
  <c r="O27" i="6"/>
  <c r="O26" i="6"/>
  <c r="O25" i="6"/>
  <c r="N18" i="6"/>
  <c r="M18" i="6"/>
  <c r="L18" i="6"/>
  <c r="K18" i="6"/>
  <c r="J18" i="6"/>
  <c r="I18" i="6"/>
  <c r="H18" i="6"/>
  <c r="G18" i="6"/>
  <c r="F18" i="6"/>
  <c r="E18" i="6"/>
  <c r="D18" i="6"/>
  <c r="C18" i="6"/>
  <c r="N15" i="6"/>
  <c r="M15" i="6"/>
  <c r="L15" i="6"/>
  <c r="K15" i="6"/>
  <c r="J15" i="6"/>
  <c r="I15" i="6"/>
  <c r="H15" i="6"/>
  <c r="G15" i="6"/>
  <c r="F15" i="6"/>
  <c r="E15" i="6"/>
  <c r="D15" i="6"/>
  <c r="C15" i="6"/>
  <c r="N14" i="6"/>
  <c r="M14" i="6"/>
  <c r="L14" i="6"/>
  <c r="K14" i="6"/>
  <c r="J14" i="6"/>
  <c r="I14" i="6"/>
  <c r="H14" i="6"/>
  <c r="G14" i="6"/>
  <c r="F14" i="6"/>
  <c r="E14" i="6"/>
  <c r="D14" i="6"/>
  <c r="C14" i="6"/>
  <c r="O10" i="6"/>
  <c r="O9" i="6"/>
  <c r="N34" i="5"/>
  <c r="M34" i="5"/>
  <c r="L34" i="5"/>
  <c r="K34" i="5"/>
  <c r="J34" i="5"/>
  <c r="I34" i="5"/>
  <c r="H34" i="5"/>
  <c r="G34" i="5"/>
  <c r="F34" i="5"/>
  <c r="E34" i="5"/>
  <c r="D34" i="5"/>
  <c r="C34" i="5"/>
  <c r="N33" i="5"/>
  <c r="M33" i="5"/>
  <c r="L33" i="5"/>
  <c r="K33" i="5"/>
  <c r="J33" i="5"/>
  <c r="I33" i="5"/>
  <c r="H33" i="5"/>
  <c r="G33" i="5"/>
  <c r="F33" i="5"/>
  <c r="E33" i="5"/>
  <c r="D33" i="5"/>
  <c r="C33" i="5"/>
  <c r="N32" i="5"/>
  <c r="M32" i="5"/>
  <c r="L32" i="5"/>
  <c r="K32" i="5"/>
  <c r="J32" i="5"/>
  <c r="I32" i="5"/>
  <c r="H32" i="5"/>
  <c r="G32" i="5"/>
  <c r="F32" i="5"/>
  <c r="E32" i="5"/>
  <c r="D32" i="5"/>
  <c r="C32" i="5"/>
  <c r="N31" i="5"/>
  <c r="M31" i="5"/>
  <c r="L31" i="5"/>
  <c r="K31" i="5"/>
  <c r="J31" i="5"/>
  <c r="I31" i="5"/>
  <c r="H31" i="5"/>
  <c r="G31" i="5"/>
  <c r="F31" i="5"/>
  <c r="E31" i="5"/>
  <c r="D31" i="5"/>
  <c r="C31" i="5"/>
  <c r="N30" i="5"/>
  <c r="M30" i="5"/>
  <c r="L30" i="5"/>
  <c r="K30" i="5"/>
  <c r="J30" i="5"/>
  <c r="I30" i="5"/>
  <c r="H30" i="5"/>
  <c r="G30" i="5"/>
  <c r="F30" i="5"/>
  <c r="E30" i="5"/>
  <c r="D30" i="5"/>
  <c r="C30" i="5"/>
  <c r="N29" i="5"/>
  <c r="M29" i="5"/>
  <c r="L29" i="5"/>
  <c r="K29" i="5"/>
  <c r="J29" i="5"/>
  <c r="I29" i="5"/>
  <c r="H29" i="5"/>
  <c r="G29" i="5"/>
  <c r="F29" i="5"/>
  <c r="E29" i="5"/>
  <c r="D29" i="5"/>
  <c r="C29" i="5"/>
  <c r="N28" i="5"/>
  <c r="M28" i="5"/>
  <c r="L28" i="5"/>
  <c r="K28" i="5"/>
  <c r="J28" i="5"/>
  <c r="I28" i="5"/>
  <c r="H28" i="5"/>
  <c r="G28" i="5"/>
  <c r="F28" i="5"/>
  <c r="E28" i="5"/>
  <c r="D28" i="5"/>
  <c r="C28" i="5"/>
  <c r="N27" i="5"/>
  <c r="M27" i="5"/>
  <c r="L27" i="5"/>
  <c r="K27" i="5"/>
  <c r="J27" i="5"/>
  <c r="I27" i="5"/>
  <c r="H27" i="5"/>
  <c r="G27" i="5"/>
  <c r="F27" i="5"/>
  <c r="E27" i="5"/>
  <c r="D27" i="5"/>
  <c r="C27" i="5"/>
  <c r="N26" i="5"/>
  <c r="M26" i="5"/>
  <c r="L26" i="5"/>
  <c r="K26" i="5"/>
  <c r="J26" i="5"/>
  <c r="I26" i="5"/>
  <c r="H26" i="5"/>
  <c r="G26" i="5"/>
  <c r="F26" i="5"/>
  <c r="E26" i="5"/>
  <c r="D26" i="5"/>
  <c r="C26" i="5"/>
  <c r="B25" i="5"/>
  <c r="H25" i="5" s="1"/>
  <c r="B24" i="5"/>
  <c r="I24" i="5" s="1"/>
  <c r="B23" i="5"/>
  <c r="J23" i="5" s="1"/>
  <c r="B22" i="5"/>
  <c r="B21" i="5"/>
  <c r="B20" i="5"/>
  <c r="B19" i="5"/>
  <c r="B18" i="5"/>
  <c r="B17" i="5"/>
  <c r="B16" i="5"/>
  <c r="B15" i="5"/>
  <c r="B14" i="5"/>
  <c r="N12" i="5"/>
  <c r="M12" i="5"/>
  <c r="L12" i="5"/>
  <c r="K12" i="5"/>
  <c r="J12" i="5"/>
  <c r="I12" i="5"/>
  <c r="H12" i="5"/>
  <c r="G12" i="5"/>
  <c r="O12" i="5" s="1"/>
  <c r="F12" i="5"/>
  <c r="E12" i="5"/>
  <c r="D12" i="5"/>
  <c r="C12" i="5"/>
  <c r="N11" i="5"/>
  <c r="M11" i="5"/>
  <c r="L11" i="5"/>
  <c r="K11" i="5"/>
  <c r="J11" i="5"/>
  <c r="I11" i="5"/>
  <c r="H11" i="5"/>
  <c r="G11" i="5"/>
  <c r="F11" i="5"/>
  <c r="E11" i="5"/>
  <c r="D11" i="5"/>
  <c r="C11" i="5"/>
  <c r="O29" i="4"/>
  <c r="N29" i="4"/>
  <c r="M29" i="4"/>
  <c r="L29" i="4"/>
  <c r="K29" i="4"/>
  <c r="J29" i="4"/>
  <c r="I29" i="4"/>
  <c r="H29" i="4"/>
  <c r="G29" i="4"/>
  <c r="F29" i="4"/>
  <c r="E29" i="4"/>
  <c r="D29" i="4"/>
  <c r="C29" i="4"/>
  <c r="O28" i="4"/>
  <c r="N28" i="4"/>
  <c r="M28" i="4"/>
  <c r="L28" i="4"/>
  <c r="K28" i="4"/>
  <c r="J28" i="4"/>
  <c r="I28" i="4"/>
  <c r="H28" i="4"/>
  <c r="G28" i="4"/>
  <c r="F28" i="4"/>
  <c r="E28" i="4"/>
  <c r="D28" i="4"/>
  <c r="C28" i="4"/>
  <c r="O27" i="4"/>
  <c r="N27" i="4"/>
  <c r="M27" i="4"/>
  <c r="L27" i="4"/>
  <c r="K27" i="4"/>
  <c r="J27" i="4"/>
  <c r="I27" i="4"/>
  <c r="H27" i="4"/>
  <c r="G27" i="4"/>
  <c r="F27" i="4"/>
  <c r="E27" i="4"/>
  <c r="D27" i="4"/>
  <c r="C27" i="4"/>
  <c r="O26" i="4"/>
  <c r="N26" i="4"/>
  <c r="M26" i="4"/>
  <c r="L26" i="4"/>
  <c r="K26" i="4"/>
  <c r="J26" i="4"/>
  <c r="I26" i="4"/>
  <c r="H26" i="4"/>
  <c r="G26" i="4"/>
  <c r="F26" i="4"/>
  <c r="E26" i="4"/>
  <c r="D26" i="4"/>
  <c r="C26" i="4"/>
  <c r="O25" i="4"/>
  <c r="N25" i="4"/>
  <c r="M25" i="4"/>
  <c r="L25" i="4"/>
  <c r="K25" i="4"/>
  <c r="J25" i="4"/>
  <c r="I25" i="4"/>
  <c r="H25" i="4"/>
  <c r="G25" i="4"/>
  <c r="F25" i="4"/>
  <c r="E25" i="4"/>
  <c r="D25" i="4"/>
  <c r="C25" i="4"/>
  <c r="O24" i="4"/>
  <c r="N24" i="4"/>
  <c r="M24" i="4"/>
  <c r="L24" i="4"/>
  <c r="K24" i="4"/>
  <c r="J24" i="4"/>
  <c r="I24" i="4"/>
  <c r="H24" i="4"/>
  <c r="G24" i="4"/>
  <c r="F24" i="4"/>
  <c r="E24" i="4"/>
  <c r="D24" i="4"/>
  <c r="C24" i="4"/>
  <c r="O23" i="4"/>
  <c r="N23" i="4"/>
  <c r="M23" i="4"/>
  <c r="L23" i="4"/>
  <c r="K23" i="4"/>
  <c r="J23" i="4"/>
  <c r="I23" i="4"/>
  <c r="H23" i="4"/>
  <c r="G23" i="4"/>
  <c r="F23" i="4"/>
  <c r="E23" i="4"/>
  <c r="D23" i="4"/>
  <c r="C23" i="4"/>
  <c r="O22" i="4"/>
  <c r="N22" i="4"/>
  <c r="M22" i="4"/>
  <c r="L22" i="4"/>
  <c r="K22" i="4"/>
  <c r="J22" i="4"/>
  <c r="I22" i="4"/>
  <c r="H22" i="4"/>
  <c r="G22" i="4"/>
  <c r="F22" i="4"/>
  <c r="E22" i="4"/>
  <c r="D22" i="4"/>
  <c r="C22" i="4"/>
  <c r="B21" i="4"/>
  <c r="P21" i="4" s="1"/>
  <c r="B20" i="4"/>
  <c r="B19" i="4"/>
  <c r="B18" i="4"/>
  <c r="F18" i="4" s="1"/>
  <c r="B17" i="4"/>
  <c r="E17" i="4" s="1"/>
  <c r="B16" i="4"/>
  <c r="B15" i="4"/>
  <c r="B14" i="4"/>
  <c r="B13" i="4"/>
  <c r="B12" i="4"/>
  <c r="B11" i="4"/>
  <c r="B10" i="4"/>
  <c r="O33" i="3"/>
  <c r="N33" i="3"/>
  <c r="M33" i="3"/>
  <c r="L33" i="3"/>
  <c r="K33" i="3"/>
  <c r="J33" i="3"/>
  <c r="I33" i="3"/>
  <c r="H33" i="3"/>
  <c r="G33" i="3"/>
  <c r="F33" i="3"/>
  <c r="E33" i="3"/>
  <c r="D33" i="3"/>
  <c r="C33" i="3"/>
  <c r="O32" i="3"/>
  <c r="N32" i="3"/>
  <c r="M32" i="3"/>
  <c r="L32" i="3"/>
  <c r="K32" i="3"/>
  <c r="J32" i="3"/>
  <c r="I32" i="3"/>
  <c r="H32" i="3"/>
  <c r="G32" i="3"/>
  <c r="F32" i="3"/>
  <c r="E32" i="3"/>
  <c r="D32" i="3"/>
  <c r="C32" i="3"/>
  <c r="O31" i="3"/>
  <c r="N31" i="3"/>
  <c r="M31" i="3"/>
  <c r="L31" i="3"/>
  <c r="K31" i="3"/>
  <c r="J31" i="3"/>
  <c r="I31" i="3"/>
  <c r="H31" i="3"/>
  <c r="G31" i="3"/>
  <c r="F31" i="3"/>
  <c r="E31" i="3"/>
  <c r="D31" i="3"/>
  <c r="C31" i="3"/>
  <c r="O30" i="3"/>
  <c r="N30" i="3"/>
  <c r="M30" i="3"/>
  <c r="L30" i="3"/>
  <c r="K30" i="3"/>
  <c r="J30" i="3"/>
  <c r="I30" i="3"/>
  <c r="H30" i="3"/>
  <c r="G30" i="3"/>
  <c r="F30" i="3"/>
  <c r="E30" i="3"/>
  <c r="D30" i="3"/>
  <c r="C30" i="3"/>
  <c r="O29" i="3"/>
  <c r="N29" i="3"/>
  <c r="M29" i="3"/>
  <c r="L29" i="3"/>
  <c r="K29" i="3"/>
  <c r="J29" i="3"/>
  <c r="I29" i="3"/>
  <c r="H29" i="3"/>
  <c r="G29" i="3"/>
  <c r="F29" i="3"/>
  <c r="E29" i="3"/>
  <c r="D29" i="3"/>
  <c r="C29" i="3"/>
  <c r="O28" i="3"/>
  <c r="N28" i="3"/>
  <c r="M28" i="3"/>
  <c r="L28" i="3"/>
  <c r="K28" i="3"/>
  <c r="J28" i="3"/>
  <c r="I28" i="3"/>
  <c r="H28" i="3"/>
  <c r="G28" i="3"/>
  <c r="F28" i="3"/>
  <c r="E28" i="3"/>
  <c r="D28" i="3"/>
  <c r="C28" i="3"/>
  <c r="O27" i="3"/>
  <c r="N27" i="3"/>
  <c r="M27" i="3"/>
  <c r="L27" i="3"/>
  <c r="K27" i="3"/>
  <c r="J27" i="3"/>
  <c r="I27" i="3"/>
  <c r="H27" i="3"/>
  <c r="G27" i="3"/>
  <c r="F27" i="3"/>
  <c r="E27" i="3"/>
  <c r="D27" i="3"/>
  <c r="C27" i="3"/>
  <c r="O26" i="3"/>
  <c r="N26" i="3"/>
  <c r="M26" i="3"/>
  <c r="L26" i="3"/>
  <c r="K26" i="3"/>
  <c r="J26" i="3"/>
  <c r="I26" i="3"/>
  <c r="H26" i="3"/>
  <c r="G26" i="3"/>
  <c r="F26" i="3"/>
  <c r="E26" i="3"/>
  <c r="D26" i="3"/>
  <c r="C26" i="3"/>
  <c r="O25" i="3"/>
  <c r="N25" i="3"/>
  <c r="M25" i="3"/>
  <c r="L25" i="3"/>
  <c r="K25" i="3"/>
  <c r="J25" i="3"/>
  <c r="I25" i="3"/>
  <c r="H25" i="3"/>
  <c r="G25" i="3"/>
  <c r="F25" i="3"/>
  <c r="E25" i="3"/>
  <c r="D25" i="3"/>
  <c r="C25" i="3"/>
  <c r="O24" i="3"/>
  <c r="N24" i="3"/>
  <c r="M24" i="3"/>
  <c r="L24" i="3"/>
  <c r="K24" i="3"/>
  <c r="J24" i="3"/>
  <c r="I24" i="3"/>
  <c r="H24" i="3"/>
  <c r="G24" i="3"/>
  <c r="F24" i="3"/>
  <c r="E24" i="3"/>
  <c r="D24" i="3"/>
  <c r="C24" i="3"/>
  <c r="B23" i="3"/>
  <c r="N23" i="3" s="1"/>
  <c r="B22" i="3"/>
  <c r="N22" i="3" s="1"/>
  <c r="B21" i="3"/>
  <c r="K21" i="3" s="1"/>
  <c r="B20" i="3"/>
  <c r="E20" i="3" s="1"/>
  <c r="B19" i="3"/>
  <c r="E19" i="3" s="1"/>
  <c r="B18" i="3"/>
  <c r="B17" i="3"/>
  <c r="B16" i="3"/>
  <c r="B15" i="3"/>
  <c r="B14" i="3"/>
  <c r="B13" i="3"/>
  <c r="B12" i="3"/>
  <c r="O10" i="3"/>
  <c r="O9" i="3"/>
  <c r="D17" i="7" s="1"/>
  <c r="I50" i="2"/>
  <c r="H50" i="2"/>
  <c r="G50" i="2"/>
  <c r="E50" i="2"/>
  <c r="E49" i="2"/>
  <c r="G49" i="2" s="1"/>
  <c r="I48" i="2"/>
  <c r="H48" i="2"/>
  <c r="G48" i="2"/>
  <c r="E48" i="2"/>
  <c r="I47" i="2"/>
  <c r="H47" i="2"/>
  <c r="G47" i="2"/>
  <c r="E47" i="2"/>
  <c r="I46" i="2"/>
  <c r="H46" i="2"/>
  <c r="G46" i="2"/>
  <c r="E46" i="2"/>
  <c r="E45" i="2"/>
  <c r="G45" i="2" s="1"/>
  <c r="H45" i="2" s="1"/>
  <c r="E44" i="2"/>
  <c r="G44" i="2" s="1"/>
  <c r="I39" i="2"/>
  <c r="H39" i="2"/>
  <c r="G39" i="2"/>
  <c r="E39" i="2"/>
  <c r="I38" i="2"/>
  <c r="H38" i="2"/>
  <c r="G38" i="2"/>
  <c r="E38" i="2"/>
  <c r="E37" i="2"/>
  <c r="E36" i="2"/>
  <c r="I35" i="2"/>
  <c r="H35" i="2"/>
  <c r="G35" i="2"/>
  <c r="E35" i="2"/>
  <c r="I34" i="2"/>
  <c r="H34" i="2"/>
  <c r="G34" i="2"/>
  <c r="E34" i="2"/>
  <c r="I33" i="2"/>
  <c r="H33" i="2"/>
  <c r="G33" i="2"/>
  <c r="E33" i="2"/>
  <c r="I32" i="2"/>
  <c r="H32" i="2"/>
  <c r="G32" i="2"/>
  <c r="E32" i="2"/>
  <c r="I31" i="2"/>
  <c r="H31" i="2"/>
  <c r="G31" i="2"/>
  <c r="E31" i="2"/>
  <c r="I30" i="2"/>
  <c r="H30" i="2"/>
  <c r="G30" i="2"/>
  <c r="E30" i="2"/>
  <c r="I29" i="2"/>
  <c r="H29" i="2"/>
  <c r="G29" i="2"/>
  <c r="E29" i="2"/>
  <c r="I28" i="2"/>
  <c r="H28" i="2"/>
  <c r="G28" i="2"/>
  <c r="E28" i="2"/>
  <c r="I27" i="2"/>
  <c r="H27" i="2"/>
  <c r="G27" i="2"/>
  <c r="E27" i="2"/>
  <c r="I26" i="2"/>
  <c r="H26" i="2"/>
  <c r="G26" i="2"/>
  <c r="E26" i="2"/>
  <c r="I25" i="2"/>
  <c r="H25" i="2"/>
  <c r="G25" i="2"/>
  <c r="E25" i="2"/>
  <c r="I24" i="2"/>
  <c r="H24" i="2"/>
  <c r="G24" i="2"/>
  <c r="E24" i="2"/>
  <c r="I23" i="2"/>
  <c r="H23" i="2"/>
  <c r="G23" i="2"/>
  <c r="E23" i="2"/>
  <c r="E22" i="2"/>
  <c r="G22" i="2" s="1"/>
  <c r="E21" i="2"/>
  <c r="E20" i="2"/>
  <c r="E19" i="2"/>
  <c r="E18" i="2"/>
  <c r="G18" i="2" s="1"/>
  <c r="H18" i="2" s="1"/>
  <c r="I18" i="2" s="1"/>
  <c r="E17" i="2"/>
  <c r="G17" i="2" s="1"/>
  <c r="H17" i="2" s="1"/>
  <c r="I17" i="2" s="1"/>
  <c r="E16" i="2"/>
  <c r="C10" i="2"/>
  <c r="O48" i="2" s="1"/>
  <c r="O18" i="2" l="1"/>
  <c r="O31" i="2"/>
  <c r="O26" i="2"/>
  <c r="Q20" i="2"/>
  <c r="O38" i="2"/>
  <c r="O44" i="2"/>
  <c r="O50" i="2"/>
  <c r="O23" i="2"/>
  <c r="Q45" i="2"/>
  <c r="O21" i="2"/>
  <c r="O34" i="2"/>
  <c r="O37" i="2"/>
  <c r="Q28" i="2"/>
  <c r="O29" i="2"/>
  <c r="Q47" i="2"/>
  <c r="O22" i="2"/>
  <c r="O39" i="2"/>
  <c r="O46" i="2"/>
  <c r="Q36" i="2"/>
  <c r="G20" i="2"/>
  <c r="O30" i="2"/>
  <c r="G36" i="2"/>
  <c r="Q48" i="2"/>
  <c r="D16" i="6"/>
  <c r="L16" i="6"/>
  <c r="G22" i="3"/>
  <c r="H22" i="3"/>
  <c r="D21" i="4"/>
  <c r="E21" i="4"/>
  <c r="G21" i="4"/>
  <c r="K16" i="6"/>
  <c r="G16" i="6"/>
  <c r="D22" i="3"/>
  <c r="E22" i="3"/>
  <c r="O14" i="6"/>
  <c r="I22" i="3"/>
  <c r="E16" i="6"/>
  <c r="M16" i="6"/>
  <c r="C19" i="3"/>
  <c r="M22" i="3"/>
  <c r="F16" i="6"/>
  <c r="N16" i="6"/>
  <c r="C22" i="3"/>
  <c r="I23" i="3"/>
  <c r="C21" i="4"/>
  <c r="C21" i="3"/>
  <c r="D24" i="5"/>
  <c r="F24" i="5"/>
  <c r="O15" i="6"/>
  <c r="O18" i="6"/>
  <c r="F21" i="3"/>
  <c r="H24" i="5"/>
  <c r="H16" i="6"/>
  <c r="L24" i="5"/>
  <c r="I16" i="6"/>
  <c r="N24" i="5"/>
  <c r="J16" i="6"/>
  <c r="E21" i="3"/>
  <c r="G21" i="3"/>
  <c r="C17" i="4"/>
  <c r="D20" i="3"/>
  <c r="N21" i="3"/>
  <c r="K22" i="3"/>
  <c r="C16" i="6"/>
  <c r="C20" i="3"/>
  <c r="J21" i="3"/>
  <c r="L22" i="3"/>
  <c r="G21" i="2"/>
  <c r="G37" i="2"/>
  <c r="H22" i="2"/>
  <c r="I22" i="2" s="1"/>
  <c r="H49" i="2"/>
  <c r="I49" i="2" s="1"/>
  <c r="G11" i="4"/>
  <c r="E11" i="4"/>
  <c r="N11" i="4"/>
  <c r="C11" i="4"/>
  <c r="F11" i="4"/>
  <c r="J11" i="4"/>
  <c r="Q21" i="2"/>
  <c r="Q37" i="2"/>
  <c r="I45" i="2"/>
  <c r="M20" i="4" s="1"/>
  <c r="K11" i="4"/>
  <c r="H20" i="2"/>
  <c r="I20" i="2" s="1"/>
  <c r="Q29" i="2"/>
  <c r="I36" i="2"/>
  <c r="F17" i="4" s="1"/>
  <c r="H36" i="2"/>
  <c r="H44" i="2"/>
  <c r="I44" i="2" s="1"/>
  <c r="M12" i="4"/>
  <c r="E12" i="4"/>
  <c r="I12" i="4"/>
  <c r="Q24" i="2"/>
  <c r="E40" i="2"/>
  <c r="F12" i="4"/>
  <c r="G16" i="2"/>
  <c r="Q17" i="2"/>
  <c r="O19" i="2"/>
  <c r="Q25" i="2"/>
  <c r="O27" i="2"/>
  <c r="Q33" i="2"/>
  <c r="O35" i="2"/>
  <c r="C23" i="3"/>
  <c r="G12" i="4"/>
  <c r="C21" i="5"/>
  <c r="E21" i="5"/>
  <c r="D21" i="5"/>
  <c r="L12" i="4"/>
  <c r="Q16" i="2"/>
  <c r="Q32" i="2"/>
  <c r="H23" i="3"/>
  <c r="L23" i="3"/>
  <c r="D23" i="3"/>
  <c r="M23" i="3"/>
  <c r="Q18" i="2"/>
  <c r="O20" i="2"/>
  <c r="Q26" i="2"/>
  <c r="O28" i="2"/>
  <c r="Q34" i="2"/>
  <c r="O36" i="2"/>
  <c r="Q44" i="2"/>
  <c r="L21" i="3"/>
  <c r="D21" i="3"/>
  <c r="H21" i="3"/>
  <c r="M21" i="3"/>
  <c r="E23" i="3"/>
  <c r="L11" i="4"/>
  <c r="D11" i="4"/>
  <c r="H11" i="4"/>
  <c r="M11" i="4"/>
  <c r="H12" i="4"/>
  <c r="F23" i="3"/>
  <c r="J12" i="4"/>
  <c r="E18" i="4"/>
  <c r="C18" i="4"/>
  <c r="K20" i="4"/>
  <c r="G23" i="5"/>
  <c r="M23" i="5"/>
  <c r="E23" i="5"/>
  <c r="K23" i="5"/>
  <c r="C23" i="5"/>
  <c r="I23" i="5"/>
  <c r="H23" i="5"/>
  <c r="Q19" i="2"/>
  <c r="Q27" i="2"/>
  <c r="Q35" i="2"/>
  <c r="G19" i="2"/>
  <c r="E51" i="2"/>
  <c r="D19" i="3"/>
  <c r="G23" i="3"/>
  <c r="K12" i="4"/>
  <c r="D18" i="4"/>
  <c r="P19" i="4"/>
  <c r="D23" i="5"/>
  <c r="F23" i="5"/>
  <c r="G20" i="4"/>
  <c r="E20" i="4"/>
  <c r="Q49" i="2"/>
  <c r="O47" i="2"/>
  <c r="O16" i="2"/>
  <c r="Q22" i="2"/>
  <c r="O24" i="2"/>
  <c r="Q30" i="2"/>
  <c r="O32" i="2"/>
  <c r="Q38" i="2"/>
  <c r="O45" i="2"/>
  <c r="J23" i="3"/>
  <c r="C12" i="4"/>
  <c r="N12" i="4"/>
  <c r="C20" i="4"/>
  <c r="P20" i="4"/>
  <c r="O11" i="5"/>
  <c r="E22" i="5"/>
  <c r="C22" i="5"/>
  <c r="F22" i="5"/>
  <c r="C12" i="2"/>
  <c r="M19" i="2" s="1"/>
  <c r="O17" i="2"/>
  <c r="Q23" i="2"/>
  <c r="O25" i="2"/>
  <c r="Q31" i="2"/>
  <c r="O33" i="2"/>
  <c r="Q39" i="2"/>
  <c r="Q46" i="2"/>
  <c r="O49" i="2"/>
  <c r="Q50" i="2"/>
  <c r="I21" i="3"/>
  <c r="K23" i="3"/>
  <c r="I11" i="4"/>
  <c r="D12" i="4"/>
  <c r="D22" i="5"/>
  <c r="L23" i="5"/>
  <c r="K25" i="5"/>
  <c r="N23" i="5"/>
  <c r="J24" i="5"/>
  <c r="D25" i="5"/>
  <c r="L25" i="5"/>
  <c r="F20" i="3"/>
  <c r="J22" i="3"/>
  <c r="C24" i="5"/>
  <c r="K24" i="5"/>
  <c r="E25" i="5"/>
  <c r="M25" i="5"/>
  <c r="F25" i="5"/>
  <c r="N25" i="5"/>
  <c r="E24" i="5"/>
  <c r="M24" i="5"/>
  <c r="G25" i="5"/>
  <c r="F22" i="3"/>
  <c r="J17" i="4"/>
  <c r="F21" i="4"/>
  <c r="G24" i="5"/>
  <c r="I25" i="5"/>
  <c r="J25" i="5"/>
  <c r="D17" i="4"/>
  <c r="H21" i="4"/>
  <c r="C25" i="5"/>
  <c r="L20" i="4" l="1"/>
  <c r="F20" i="4"/>
  <c r="O16" i="6"/>
  <c r="O22" i="3"/>
  <c r="O21" i="3"/>
  <c r="O23" i="3"/>
  <c r="O25" i="5"/>
  <c r="O24" i="5"/>
  <c r="O12" i="4"/>
  <c r="E19" i="4"/>
  <c r="C19" i="4"/>
  <c r="M19" i="4"/>
  <c r="I51" i="2"/>
  <c r="I19" i="4"/>
  <c r="F19" i="4"/>
  <c r="L19" i="4"/>
  <c r="J19" i="4"/>
  <c r="D19" i="4"/>
  <c r="G19" i="4"/>
  <c r="H19" i="4"/>
  <c r="N19" i="4"/>
  <c r="K19" i="4"/>
  <c r="I21" i="4"/>
  <c r="L21" i="4"/>
  <c r="M21" i="4"/>
  <c r="K21" i="4"/>
  <c r="J21" i="4"/>
  <c r="N21" i="4"/>
  <c r="N16" i="4"/>
  <c r="L16" i="4"/>
  <c r="J16" i="4"/>
  <c r="H16" i="4"/>
  <c r="G16" i="4"/>
  <c r="D16" i="4"/>
  <c r="E16" i="4"/>
  <c r="F16" i="4"/>
  <c r="K16" i="4"/>
  <c r="C16" i="4"/>
  <c r="I16" i="4"/>
  <c r="M16" i="4"/>
  <c r="E14" i="4"/>
  <c r="F14" i="4"/>
  <c r="J14" i="4"/>
  <c r="C14" i="4"/>
  <c r="N14" i="4"/>
  <c r="H14" i="4"/>
  <c r="I14" i="4"/>
  <c r="M14" i="4"/>
  <c r="D14" i="4"/>
  <c r="G14" i="4"/>
  <c r="L14" i="4"/>
  <c r="K14" i="4"/>
  <c r="N19" i="2"/>
  <c r="I15" i="3"/>
  <c r="F15" i="3"/>
  <c r="E15" i="3"/>
  <c r="H15" i="3"/>
  <c r="K15" i="3"/>
  <c r="L15" i="3"/>
  <c r="G15" i="3"/>
  <c r="J15" i="3"/>
  <c r="D15" i="3"/>
  <c r="M15" i="3"/>
  <c r="C15" i="3"/>
  <c r="N15" i="3"/>
  <c r="H16" i="2"/>
  <c r="I16" i="2" s="1"/>
  <c r="O51" i="2"/>
  <c r="O40" i="2"/>
  <c r="P48" i="2"/>
  <c r="P45" i="2"/>
  <c r="P32" i="2"/>
  <c r="P24" i="2"/>
  <c r="P16" i="2"/>
  <c r="P50" i="2"/>
  <c r="P46" i="2"/>
  <c r="P39" i="2"/>
  <c r="M34" i="2"/>
  <c r="N34" i="2" s="1"/>
  <c r="P31" i="2"/>
  <c r="M26" i="2"/>
  <c r="N26" i="2" s="1"/>
  <c r="P23" i="2"/>
  <c r="M18" i="2"/>
  <c r="P47" i="2"/>
  <c r="P37" i="2"/>
  <c r="P29" i="2"/>
  <c r="P21" i="2"/>
  <c r="M39" i="2"/>
  <c r="N39" i="2" s="1"/>
  <c r="P36" i="2"/>
  <c r="M31" i="2"/>
  <c r="N31" i="2" s="1"/>
  <c r="P28" i="2"/>
  <c r="M23" i="2"/>
  <c r="N23" i="2" s="1"/>
  <c r="P20" i="2"/>
  <c r="P35" i="2"/>
  <c r="P27" i="2"/>
  <c r="P19" i="2"/>
  <c r="P49" i="2"/>
  <c r="M36" i="2"/>
  <c r="M28" i="2"/>
  <c r="N28" i="2" s="1"/>
  <c r="P17" i="2"/>
  <c r="P44" i="2"/>
  <c r="P34" i="2"/>
  <c r="P26" i="2"/>
  <c r="P18" i="2"/>
  <c r="P33" i="2"/>
  <c r="P25" i="2"/>
  <c r="M20" i="2"/>
  <c r="M17" i="2"/>
  <c r="P30" i="2"/>
  <c r="M33" i="2"/>
  <c r="N33" i="2" s="1"/>
  <c r="P38" i="2"/>
  <c r="P22" i="2"/>
  <c r="M25" i="2"/>
  <c r="N25" i="2" s="1"/>
  <c r="J20" i="4"/>
  <c r="M35" i="2"/>
  <c r="N35" i="2" s="1"/>
  <c r="M30" i="2"/>
  <c r="N30" i="2" s="1"/>
  <c r="M38" i="2"/>
  <c r="N38" i="2" s="1"/>
  <c r="N17" i="4"/>
  <c r="D20" i="4"/>
  <c r="N20" i="4"/>
  <c r="H19" i="2"/>
  <c r="I19" i="2" s="1"/>
  <c r="M22" i="2"/>
  <c r="Q51" i="2"/>
  <c r="Q40" i="2"/>
  <c r="C17" i="7" s="1"/>
  <c r="H20" i="4"/>
  <c r="M29" i="2"/>
  <c r="N29" i="2" s="1"/>
  <c r="M32" i="2"/>
  <c r="N32" i="2" s="1"/>
  <c r="M37" i="2"/>
  <c r="B17" i="7"/>
  <c r="I20" i="4"/>
  <c r="M27" i="2"/>
  <c r="N27" i="2" s="1"/>
  <c r="M24" i="2"/>
  <c r="N24" i="2" s="1"/>
  <c r="H37" i="2"/>
  <c r="I37" i="2" s="1"/>
  <c r="K17" i="4"/>
  <c r="H17" i="4"/>
  <c r="I17" i="4"/>
  <c r="G17" i="4"/>
  <c r="M17" i="4"/>
  <c r="M21" i="2"/>
  <c r="O23" i="5"/>
  <c r="L17" i="4"/>
  <c r="M16" i="2"/>
  <c r="O11" i="4"/>
  <c r="H21" i="2"/>
  <c r="I21" i="2"/>
  <c r="O17" i="4" l="1"/>
  <c r="O21" i="4"/>
  <c r="H13" i="4"/>
  <c r="K13" i="4"/>
  <c r="I13" i="4"/>
  <c r="G13" i="4"/>
  <c r="E13" i="4"/>
  <c r="D13" i="4"/>
  <c r="C13" i="4"/>
  <c r="L13" i="4"/>
  <c r="M13" i="4"/>
  <c r="F13" i="4"/>
  <c r="N13" i="4"/>
  <c r="J13" i="4"/>
  <c r="H18" i="4"/>
  <c r="J18" i="4"/>
  <c r="I18" i="4"/>
  <c r="L18" i="4"/>
  <c r="M18" i="4"/>
  <c r="K18" i="4"/>
  <c r="N18" i="4"/>
  <c r="G18" i="4"/>
  <c r="L10" i="4"/>
  <c r="I10" i="4"/>
  <c r="H10" i="4"/>
  <c r="F10" i="4"/>
  <c r="N10" i="4"/>
  <c r="D10" i="4"/>
  <c r="J10" i="4"/>
  <c r="K10" i="4"/>
  <c r="E10" i="4"/>
  <c r="C10" i="4"/>
  <c r="G10" i="4"/>
  <c r="M10" i="4"/>
  <c r="G16" i="3"/>
  <c r="E16" i="3"/>
  <c r="M16" i="3"/>
  <c r="C16" i="3"/>
  <c r="L16" i="3"/>
  <c r="K16" i="3"/>
  <c r="I16" i="3"/>
  <c r="N20" i="2"/>
  <c r="H16" i="3"/>
  <c r="D16" i="3"/>
  <c r="F16" i="3"/>
  <c r="J16" i="3"/>
  <c r="N16" i="3"/>
  <c r="D14" i="3"/>
  <c r="N18" i="2"/>
  <c r="C14" i="3"/>
  <c r="M14" i="3"/>
  <c r="K14" i="3"/>
  <c r="E14" i="3"/>
  <c r="I14" i="3"/>
  <c r="H14" i="3"/>
  <c r="G14" i="3"/>
  <c r="L14" i="3"/>
  <c r="J14" i="3"/>
  <c r="N14" i="3"/>
  <c r="F14" i="3"/>
  <c r="P51" i="2"/>
  <c r="P40" i="2"/>
  <c r="L20" i="3"/>
  <c r="K20" i="3"/>
  <c r="H20" i="3"/>
  <c r="G20" i="3"/>
  <c r="N37" i="2"/>
  <c r="M20" i="3"/>
  <c r="I20" i="3"/>
  <c r="N20" i="3"/>
  <c r="J20" i="3"/>
  <c r="K19" i="3"/>
  <c r="G19" i="3"/>
  <c r="N36" i="2"/>
  <c r="N19" i="3"/>
  <c r="M19" i="3"/>
  <c r="I19" i="3"/>
  <c r="F19" i="3"/>
  <c r="J19" i="3"/>
  <c r="L19" i="3"/>
  <c r="H19" i="3"/>
  <c r="O19" i="4"/>
  <c r="I18" i="3"/>
  <c r="H18" i="3"/>
  <c r="E18" i="3"/>
  <c r="N22" i="2"/>
  <c r="D18" i="3"/>
  <c r="M18" i="3"/>
  <c r="C18" i="3"/>
  <c r="L18" i="3"/>
  <c r="K18" i="3"/>
  <c r="G18" i="3"/>
  <c r="N18" i="3"/>
  <c r="F18" i="3"/>
  <c r="J18" i="3"/>
  <c r="G13" i="3"/>
  <c r="N17" i="2"/>
  <c r="E13" i="3"/>
  <c r="N13" i="3"/>
  <c r="C13" i="3"/>
  <c r="J13" i="3"/>
  <c r="F13" i="3"/>
  <c r="L13" i="3"/>
  <c r="D13" i="3"/>
  <c r="I13" i="3"/>
  <c r="M13" i="3"/>
  <c r="H13" i="3"/>
  <c r="K13" i="3"/>
  <c r="O14" i="4"/>
  <c r="L12" i="3"/>
  <c r="K12" i="3"/>
  <c r="H12" i="3"/>
  <c r="G12" i="3"/>
  <c r="C12" i="3"/>
  <c r="E12" i="3"/>
  <c r="D12" i="3"/>
  <c r="M12" i="3"/>
  <c r="I12" i="3"/>
  <c r="N16" i="2"/>
  <c r="J12" i="3"/>
  <c r="F12" i="3"/>
  <c r="N12" i="3"/>
  <c r="O20" i="4"/>
  <c r="I17" i="3"/>
  <c r="N21" i="2"/>
  <c r="E17" i="3"/>
  <c r="K17" i="3"/>
  <c r="F17" i="3"/>
  <c r="H17" i="3"/>
  <c r="L17" i="3"/>
  <c r="C17" i="3"/>
  <c r="M17" i="3"/>
  <c r="D17" i="3"/>
  <c r="N17" i="3"/>
  <c r="J17" i="3"/>
  <c r="G17" i="3"/>
  <c r="O15" i="3"/>
  <c r="E15" i="4"/>
  <c r="N15" i="4"/>
  <c r="C15" i="4"/>
  <c r="M15" i="4"/>
  <c r="K15" i="4"/>
  <c r="I15" i="4"/>
  <c r="F15" i="4"/>
  <c r="G15" i="4"/>
  <c r="D15" i="4"/>
  <c r="L15" i="4"/>
  <c r="J15" i="4"/>
  <c r="H15" i="4"/>
  <c r="H17" i="5"/>
  <c r="E17" i="5"/>
  <c r="L17" i="5"/>
  <c r="D17" i="5"/>
  <c r="C17" i="5"/>
  <c r="I17" i="5"/>
  <c r="N17" i="5"/>
  <c r="K17" i="5"/>
  <c r="G17" i="5"/>
  <c r="F17" i="5"/>
  <c r="J17" i="5"/>
  <c r="P13" i="4"/>
  <c r="M17" i="5"/>
  <c r="O16" i="4"/>
  <c r="O17" i="5" l="1"/>
  <c r="N11" i="3"/>
  <c r="O12" i="3"/>
  <c r="C11" i="3"/>
  <c r="H21" i="5"/>
  <c r="P17" i="4"/>
  <c r="I21" i="5"/>
  <c r="G21" i="5"/>
  <c r="M21" i="5"/>
  <c r="N21" i="5"/>
  <c r="L21" i="5"/>
  <c r="F21" i="5"/>
  <c r="K21" i="5"/>
  <c r="J21" i="5"/>
  <c r="O20" i="3"/>
  <c r="O14" i="3"/>
  <c r="L18" i="5"/>
  <c r="J18" i="5"/>
  <c r="H18" i="5"/>
  <c r="D18" i="5"/>
  <c r="C18" i="5"/>
  <c r="I18" i="5"/>
  <c r="G18" i="5"/>
  <c r="E18" i="5"/>
  <c r="N18" i="5"/>
  <c r="P14" i="4"/>
  <c r="F18" i="5"/>
  <c r="M18" i="5"/>
  <c r="K18" i="5"/>
  <c r="M9" i="4"/>
  <c r="F9" i="4"/>
  <c r="F11" i="3"/>
  <c r="G11" i="3"/>
  <c r="N15" i="5"/>
  <c r="L15" i="5"/>
  <c r="J15" i="5"/>
  <c r="D15" i="5"/>
  <c r="P11" i="4"/>
  <c r="E15" i="5"/>
  <c r="K15" i="5"/>
  <c r="C15" i="5"/>
  <c r="M15" i="5"/>
  <c r="I15" i="5"/>
  <c r="H15" i="5"/>
  <c r="F15" i="5"/>
  <c r="G15" i="5"/>
  <c r="O18" i="3"/>
  <c r="H16" i="5"/>
  <c r="F16" i="5"/>
  <c r="D16" i="5"/>
  <c r="N16" i="5"/>
  <c r="L16" i="5"/>
  <c r="M16" i="5"/>
  <c r="G16" i="5"/>
  <c r="J16" i="5"/>
  <c r="E16" i="5"/>
  <c r="P12" i="4"/>
  <c r="I16" i="5"/>
  <c r="K16" i="5"/>
  <c r="C16" i="5"/>
  <c r="G9" i="4"/>
  <c r="H9" i="4"/>
  <c r="O13" i="4"/>
  <c r="J11" i="3"/>
  <c r="H11" i="3"/>
  <c r="C9" i="4"/>
  <c r="O10" i="4"/>
  <c r="I9" i="4"/>
  <c r="L14" i="5"/>
  <c r="J14" i="5"/>
  <c r="H14" i="5"/>
  <c r="D14" i="5"/>
  <c r="C14" i="5"/>
  <c r="P10" i="4"/>
  <c r="I14" i="5"/>
  <c r="G14" i="5"/>
  <c r="F14" i="5"/>
  <c r="N14" i="5"/>
  <c r="M14" i="5"/>
  <c r="E14" i="5"/>
  <c r="K14" i="5"/>
  <c r="K11" i="3"/>
  <c r="E9" i="4"/>
  <c r="L9" i="4"/>
  <c r="I11" i="3"/>
  <c r="L11" i="3"/>
  <c r="N20" i="5"/>
  <c r="L20" i="5"/>
  <c r="H20" i="5"/>
  <c r="F20" i="5"/>
  <c r="D20" i="5"/>
  <c r="P16" i="4"/>
  <c r="K20" i="5"/>
  <c r="E20" i="5"/>
  <c r="G20" i="5"/>
  <c r="J20" i="5"/>
  <c r="M20" i="5"/>
  <c r="I20" i="5"/>
  <c r="C20" i="5"/>
  <c r="O19" i="3"/>
  <c r="O16" i="3"/>
  <c r="K9" i="4"/>
  <c r="O18" i="4"/>
  <c r="K19" i="5"/>
  <c r="D19" i="5"/>
  <c r="C19" i="5"/>
  <c r="I19" i="5"/>
  <c r="P15" i="4"/>
  <c r="M19" i="5"/>
  <c r="H19" i="5"/>
  <c r="L19" i="5"/>
  <c r="F19" i="5"/>
  <c r="J19" i="5"/>
  <c r="G19" i="5"/>
  <c r="N19" i="5"/>
  <c r="E19" i="5"/>
  <c r="M11" i="3"/>
  <c r="J9" i="4"/>
  <c r="O15" i="4"/>
  <c r="D11" i="3"/>
  <c r="O13" i="3"/>
  <c r="D9" i="4"/>
  <c r="O17" i="3"/>
  <c r="E11" i="3"/>
  <c r="P18" i="4"/>
  <c r="M22" i="5"/>
  <c r="K22" i="5"/>
  <c r="L22" i="5"/>
  <c r="I22" i="5"/>
  <c r="G22" i="5"/>
  <c r="H22" i="5"/>
  <c r="J22" i="5"/>
  <c r="N22" i="5"/>
  <c r="N9" i="4"/>
  <c r="D13" i="5" l="1"/>
  <c r="D8" i="6" s="1"/>
  <c r="D11" i="6" s="1"/>
  <c r="D21" i="6" s="1"/>
  <c r="D33" i="6" s="1"/>
  <c r="E13" i="5"/>
  <c r="E8" i="6" s="1"/>
  <c r="E11" i="6" s="1"/>
  <c r="M13" i="5"/>
  <c r="M8" i="6" s="1"/>
  <c r="M11" i="6" s="1"/>
  <c r="H13" i="5"/>
  <c r="H8" i="6" s="1"/>
  <c r="H11" i="6" s="1"/>
  <c r="N13" i="5"/>
  <c r="N8" i="6" s="1"/>
  <c r="N11" i="6" s="1"/>
  <c r="J13" i="5"/>
  <c r="J8" i="6" s="1"/>
  <c r="J11" i="6" s="1"/>
  <c r="F13" i="5"/>
  <c r="F8" i="6" s="1"/>
  <c r="F11" i="6" s="1"/>
  <c r="O18" i="5"/>
  <c r="G13" i="5"/>
  <c r="G8" i="6" s="1"/>
  <c r="G11" i="6" s="1"/>
  <c r="O16" i="5"/>
  <c r="O21" i="5"/>
  <c r="O11" i="3"/>
  <c r="L13" i="5"/>
  <c r="L8" i="6" s="1"/>
  <c r="L11" i="6" s="1"/>
  <c r="O20" i="5"/>
  <c r="I13" i="5"/>
  <c r="I8" i="6" s="1"/>
  <c r="I11" i="6" s="1"/>
  <c r="O22" i="5"/>
  <c r="O19" i="5"/>
  <c r="O9" i="4"/>
  <c r="K13" i="5"/>
  <c r="K8" i="6" s="1"/>
  <c r="K11" i="6" s="1"/>
  <c r="O14" i="5"/>
  <c r="C13" i="5"/>
  <c r="O15" i="5"/>
  <c r="D22" i="6" l="1"/>
  <c r="D19" i="6"/>
  <c r="F19" i="6"/>
  <c r="F21" i="6"/>
  <c r="F33" i="6" s="1"/>
  <c r="F22" i="6"/>
  <c r="O13" i="5"/>
  <c r="D11" i="7" s="1"/>
  <c r="C8" i="6"/>
  <c r="L21" i="6"/>
  <c r="L33" i="6" s="1"/>
  <c r="L19" i="6"/>
  <c r="L22" i="6"/>
  <c r="K21" i="6"/>
  <c r="K33" i="6" s="1"/>
  <c r="K19" i="6"/>
  <c r="K22" i="6"/>
  <c r="I19" i="6"/>
  <c r="I21" i="6"/>
  <c r="I33" i="6" s="1"/>
  <c r="I22" i="6"/>
  <c r="J19" i="6"/>
  <c r="J21" i="6"/>
  <c r="J33" i="6" s="1"/>
  <c r="J22" i="6"/>
  <c r="N19" i="6"/>
  <c r="N21" i="6"/>
  <c r="N33" i="6" s="1"/>
  <c r="N22" i="6"/>
  <c r="C14" i="7"/>
  <c r="C11" i="7"/>
  <c r="H19" i="6"/>
  <c r="H21" i="6"/>
  <c r="H33" i="6" s="1"/>
  <c r="H22" i="6"/>
  <c r="M21" i="6"/>
  <c r="M33" i="6" s="1"/>
  <c r="M19" i="6"/>
  <c r="M22" i="6"/>
  <c r="G19" i="6"/>
  <c r="G21" i="6"/>
  <c r="G33" i="6" s="1"/>
  <c r="G22" i="6"/>
  <c r="E21" i="6"/>
  <c r="E33" i="6" s="1"/>
  <c r="E19" i="6"/>
  <c r="E22" i="6"/>
  <c r="C11" i="6" l="1"/>
  <c r="O8" i="6"/>
  <c r="O11" i="6" l="1"/>
  <c r="B14" i="7"/>
  <c r="C21" i="6"/>
  <c r="C33" i="6" s="1"/>
  <c r="C19" i="6"/>
  <c r="C22" i="6"/>
  <c r="O19" i="6" l="1"/>
  <c r="B11" i="7" s="1"/>
  <c r="O21" i="6"/>
  <c r="O33" i="6" s="1"/>
  <c r="D14" i="7" s="1"/>
  <c r="O2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00000000-0006-0000-0100-000001000000}">
      <text>
        <r>
          <rPr>
            <sz val="11"/>
            <color rgb="FF000000"/>
            <rFont val="Calibri"/>
          </rPr>
          <t xml:space="preserve">Startmaand: de getallen 1-12 staan voor de maanden januari-december. Werkt iemand het hele jaar bij je, dan vul je de 1 (voor januari) in. Start iemand in maart, dan vul je een 3 in.
</t>
        </r>
      </text>
    </comment>
    <comment ref="E15" authorId="0" shapeId="0" xr:uid="{00000000-0006-0000-0100-000002000000}">
      <text>
        <r>
          <rPr>
            <sz val="11"/>
            <color rgb="FF000000"/>
            <rFont val="Calibri"/>
          </rPr>
          <t>Voor een fte gaan we uit van 40 uur per week. Is dat anders in jouw bedrijf, vul dan hierboven bij 'Algemene jaargegevens' je eigen definitie in.</t>
        </r>
      </text>
    </comment>
    <comment ref="H15" authorId="0" shapeId="0" xr:uid="{00000000-0006-0000-0100-000003000000}">
      <text>
        <r>
          <rPr>
            <sz val="11"/>
            <color rgb="FF000000"/>
            <rFont val="Calibri"/>
          </rPr>
          <t xml:space="preserve">Vul het percentage hierboven in bij werkgeverslasten. Reken bijvoorbeeld 32% van het salaris voor pensioen en sociale lasten. 
Let op: Aanvullende voorwaarden zoals een auto vallen hier buiten. 
</t>
        </r>
      </text>
    </comment>
    <comment ref="L15" authorId="0" shapeId="0" xr:uid="{00000000-0006-0000-0100-000004000000}">
      <text>
        <r>
          <rPr>
            <sz val="11"/>
            <color rgb="FF000000"/>
            <rFont val="Calibri"/>
          </rPr>
          <t>Dit is het percentage van de roosteruren dat de medewerker voor klanten werkt.</t>
        </r>
      </text>
    </comment>
    <comment ref="C43" authorId="0" shapeId="0" xr:uid="{00000000-0006-0000-0100-000005000000}">
      <text>
        <r>
          <rPr>
            <sz val="11"/>
            <color rgb="FF000000"/>
            <rFont val="Calibri"/>
          </rPr>
          <t>Startmaand: de getallen 1-12 staan voor de maanden januari-december. Werkt iemand het hele jaar bij je, dan vul je de 1 (voor januari) in. Start iemand in maart, dan vul je een 3 in.</t>
        </r>
      </text>
    </comment>
    <comment ref="E43" authorId="0" shapeId="0" xr:uid="{00000000-0006-0000-0100-000006000000}">
      <text>
        <r>
          <rPr>
            <sz val="11"/>
            <color rgb="FF000000"/>
            <rFont val="Calibri"/>
          </rPr>
          <t>Voor een fte gaan we uit van 40 uur per week. Is dat anders in jouw bedrijf, vul dan hierboven bij 'Algemene jaargegevens' je eigen definitie in.</t>
        </r>
      </text>
    </comment>
    <comment ref="H43" authorId="0" shapeId="0" xr:uid="{00000000-0006-0000-0100-000007000000}">
      <text>
        <r>
          <rPr>
            <sz val="11"/>
            <color rgb="FF000000"/>
            <rFont val="Calibri"/>
          </rPr>
          <t xml:space="preserve">Vul het percentage hierboven in bij werkgeverslasten. Reken bijvoorbeeld 32% van het salaris voor pensioen en sociale lasten. 
Let op: Aanvullende voorwaarden zoals een auto vallen hier buiten.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200-000001000000}">
      <text>
        <r>
          <rPr>
            <sz val="11"/>
            <color rgb="FF000000"/>
            <rFont val="Calibri"/>
          </rPr>
          <t xml:space="preserve">Totaal moet eindigen op 12
</t>
        </r>
      </text>
    </comment>
  </commentList>
</comments>
</file>

<file path=xl/sharedStrings.xml><?xml version="1.0" encoding="utf-8"?>
<sst xmlns="http://schemas.openxmlformats.org/spreadsheetml/2006/main" count="225" uniqueCount="149">
  <si>
    <t>Bewaak en beheer je begroting moeiteloos met onze gebruiksvriendelijke bedrijfssoftware. Plan vandaag een demo!</t>
  </si>
  <si>
    <t>Zo werkt het begrotingstemplate</t>
  </si>
  <si>
    <t>Simpelweg succesvoller met Simplicate</t>
  </si>
  <si>
    <t>Met dit template bereken je wat jij nodig hebt om je doelen voor 2026 te halen. Je vult je huidige bedrijfsresultaten in. Aan de hand daarvan kijk je wat er met je KPI's gebeurt als je bijvoorbeeld de productiviteit of uurtarieven aanpast. Zo kom je erachter waar jij kan groeien.  
Kopieer* dit bestand naar jouw eigen Google Drive en vul de gegevens in volgens het stappenplan hieronder.</t>
  </si>
  <si>
    <t>Hoe we dat doen? Met onze verfrissende succesformule. Die bestaat uit onze bedrijfssoftware, een unieke werkmethode en een team van betrokken experts. Zo helpt Simplicate jou met overzicht om je projecten effectief te managen en inzicht in je financiële prestaties. Benieuwd hoe wij jou kunnen helpen met het succes van jouw bedrijf?</t>
  </si>
  <si>
    <t>Stappenplan</t>
  </si>
  <si>
    <t>Stap 1</t>
  </si>
  <si>
    <t>Maak je eigen kopie. Ga naar Bestand en klik op Kopie maken. Sla deze nu in jouw eigen Google Drive-omgeving.</t>
  </si>
  <si>
    <t>Stap 2</t>
  </si>
  <si>
    <r>
      <rPr>
        <sz val="10"/>
        <rFont val="Work Sans"/>
      </rPr>
      <t xml:space="preserve">Ga naar tabblad </t>
    </r>
    <r>
      <rPr>
        <b/>
        <sz val="10"/>
        <rFont val="Work Sans"/>
      </rPr>
      <t xml:space="preserve">1. Invulsheet medewerkers. </t>
    </r>
    <r>
      <rPr>
        <sz val="10"/>
        <rFont val="Work Sans"/>
      </rPr>
      <t>Vul hier de salarissen, uurtarieven en productiviteit van je medewerkers in.</t>
    </r>
  </si>
  <si>
    <t>Ervaar het gemak van onze software</t>
  </si>
  <si>
    <t>Stap 3</t>
  </si>
  <si>
    <r>
      <rPr>
        <sz val="10"/>
        <rFont val="Work Sans"/>
      </rPr>
      <t xml:space="preserve">Ga naar tabblad </t>
    </r>
    <r>
      <rPr>
        <b/>
        <sz val="10"/>
        <rFont val="Work Sans"/>
      </rPr>
      <t>2a. Productieve uren.</t>
    </r>
    <r>
      <rPr>
        <sz val="10"/>
        <rFont val="Work Sans"/>
      </rPr>
      <t xml:space="preserve"> Hier vul je verwachte verzuimpercentages en seizoensfluctuaties in.</t>
    </r>
  </si>
  <si>
    <t>Stap 4</t>
  </si>
  <si>
    <r>
      <rPr>
        <sz val="10"/>
        <rFont val="Work Sans"/>
      </rPr>
      <t xml:space="preserve">Je begroting is bijna klaar! Beoordeel tabblad </t>
    </r>
    <r>
      <rPr>
        <b/>
        <sz val="10"/>
        <rFont val="Work Sans"/>
      </rPr>
      <t>3. Begroting</t>
    </r>
    <r>
      <rPr>
        <sz val="10"/>
        <rFont val="Work Sans"/>
      </rPr>
      <t>. Vul de witte vlakken aan waar nodig.</t>
    </r>
  </si>
  <si>
    <t>Stap 5</t>
  </si>
  <si>
    <t>Pas de input aan tot je op de gewenste en haalbare resultaten uitkomt. Dit is je plan voor komend jaar.</t>
  </si>
  <si>
    <t>Stap 6</t>
  </si>
  <si>
    <r>
      <rPr>
        <sz val="10"/>
        <rFont val="Work Sans"/>
      </rPr>
      <t xml:space="preserve">Bewaak je resultaten gedurende het jaar. Tabblad </t>
    </r>
    <r>
      <rPr>
        <b/>
        <sz val="10"/>
        <rFont val="Work Sans"/>
      </rPr>
      <t>KPI's</t>
    </r>
    <r>
      <rPr>
        <sz val="10"/>
        <rFont val="Work Sans"/>
      </rPr>
      <t xml:space="preserve"> toont KPI's waar je op kunt sturen.</t>
    </r>
  </si>
  <si>
    <t>Alle witte vlakken zijn bedoeld om aangepast te worden</t>
  </si>
  <si>
    <t>Plan vandaag een demo</t>
  </si>
  <si>
    <t xml:space="preserve"> </t>
  </si>
  <si>
    <t>Invulsheet medewerkers</t>
  </si>
  <si>
    <r>
      <rPr>
        <sz val="10"/>
        <rFont val="Work Sans"/>
      </rPr>
      <t xml:space="preserve">Start met deze sheet. Vul als eerste de </t>
    </r>
    <r>
      <rPr>
        <b/>
        <sz val="10"/>
        <rFont val="Work Sans"/>
      </rPr>
      <t>Algemene jaargegevens</t>
    </r>
    <r>
      <rPr>
        <sz val="10"/>
        <rFont val="Work Sans"/>
      </rPr>
      <t xml:space="preserve"> in. Vul daarna gegevens van (toekomstige) medewerkers in. Dit is bepalend voor de omzet en kosten van je medewerkers. 
Tip: in velden met een asterix (*) staat extra uitleg. Hoover hierover met je muis om de toelichting te lezen.
Alles ingevuld? Ga naar tabblad 2a. Productieve uren om verzuimpercentages en seizoensinvloeden in te vullen.</t>
    </r>
  </si>
  <si>
    <t>Algemene jaargegevens</t>
  </si>
  <si>
    <t>Werkbare dagen (2025)</t>
  </si>
  <si>
    <t>werkbare dagen per jaar</t>
  </si>
  <si>
    <t>Werkgeverslasten percentage</t>
  </si>
  <si>
    <t>1 fte</t>
  </si>
  <si>
    <t>werkuren per week</t>
  </si>
  <si>
    <t>werkbare uren per jaar</t>
  </si>
  <si>
    <t>verlofuren per jaar</t>
  </si>
  <si>
    <t>werkuren per jaar</t>
  </si>
  <si>
    <t>Fee earners (Directe medewerkers)</t>
  </si>
  <si>
    <t>Naam</t>
  </si>
  <si>
    <t>Startmaand*</t>
  </si>
  <si>
    <t>werkuren/week</t>
  </si>
  <si>
    <t>FTE/jaar*</t>
  </si>
  <si>
    <t>Salaris FT</t>
  </si>
  <si>
    <t>Werkelijk salaris</t>
  </si>
  <si>
    <t>Werkgeverslasten*</t>
  </si>
  <si>
    <t>Totaal/maand</t>
  </si>
  <si>
    <t>Uurtarief</t>
  </si>
  <si>
    <t>Productiviteit*</t>
  </si>
  <si>
    <t>Totaal uren (prod)</t>
  </si>
  <si>
    <t>Totaal</t>
  </si>
  <si>
    <t>Totaal uren beschikbaar</t>
  </si>
  <si>
    <t>Uren op basis van startmaand (excl verlof)</t>
  </si>
  <si>
    <t>Uren op basis van startmaand (incl verlof)</t>
  </si>
  <si>
    <t>Medewerker 1</t>
  </si>
  <si>
    <t>Medewerker 2</t>
  </si>
  <si>
    <t>Medewerker 3</t>
  </si>
  <si>
    <t>Medewerker 4</t>
  </si>
  <si>
    <t>Medewerker 5</t>
  </si>
  <si>
    <t>Medewerker 6</t>
  </si>
  <si>
    <t>Medewerker 7</t>
  </si>
  <si>
    <t>Medewerker 8</t>
  </si>
  <si>
    <t xml:space="preserve">- </t>
  </si>
  <si>
    <t>Medewerker 9</t>
  </si>
  <si>
    <t>-</t>
  </si>
  <si>
    <t>Medewerker 10</t>
  </si>
  <si>
    <t>Medewerker 11</t>
  </si>
  <si>
    <t>Medewerker 12</t>
  </si>
  <si>
    <t>Medewerker 13</t>
  </si>
  <si>
    <t>Medewerker 14</t>
  </si>
  <si>
    <t>Medewerker 15</t>
  </si>
  <si>
    <t>Medewerker 16</t>
  </si>
  <si>
    <t>Medewerker 17</t>
  </si>
  <si>
    <t>Medewerker 18</t>
  </si>
  <si>
    <t>Medewerker 19</t>
  </si>
  <si>
    <t>Medewerker 20</t>
  </si>
  <si>
    <t>Vacature 1</t>
  </si>
  <si>
    <t>Vacature 2</t>
  </si>
  <si>
    <t>Vacature 3</t>
  </si>
  <si>
    <t>Vacature 4</t>
  </si>
  <si>
    <t>Ondersteunende medewerkers (indirecte medewerkers)</t>
  </si>
  <si>
    <t>Medewerker 21</t>
  </si>
  <si>
    <t>Medewerker 22</t>
  </si>
  <si>
    <t>Medewerker 23</t>
  </si>
  <si>
    <t>Medewerker 24</t>
  </si>
  <si>
    <t>Medewerker 25</t>
  </si>
  <si>
    <t>Vacature 5</t>
  </si>
  <si>
    <t>Vacature 6</t>
  </si>
  <si>
    <r>
      <rPr>
        <b/>
        <sz val="16"/>
        <color rgb="FF1E1F21"/>
        <rFont val="Work Sans"/>
      </rPr>
      <t xml:space="preserve">Hulp nodig bij het invullen? 
</t>
    </r>
    <r>
      <rPr>
        <sz val="12"/>
        <color rgb="FF1E1F21"/>
        <rFont val="Work Sans"/>
      </rPr>
      <t>Willem Godschalk laat je in onze Online Masterclass zien hoe je een realistische begroting maakt.</t>
    </r>
  </si>
  <si>
    <t>Bekijk Online Masterclass</t>
  </si>
  <si>
    <t>Productieve uren</t>
  </si>
  <si>
    <r>
      <rPr>
        <sz val="10"/>
        <rFont val="Work Sans"/>
      </rPr>
      <t xml:space="preserve">Niet iedere maand is hetzelfde en dat heeft impact op de productiviteit van je team. In dit overzicht voer je eventuele seizoenspatronen en verwachte verzuimpercentages in. 
</t>
    </r>
    <r>
      <rPr>
        <b/>
        <sz val="10"/>
        <rFont val="Work Sans"/>
      </rPr>
      <t>Verzuim:</t>
    </r>
    <r>
      <rPr>
        <sz val="10"/>
        <rFont val="Work Sans"/>
      </rPr>
      <t xml:space="preserve"> maak een inschatting van de verzuimpercentages. Heeft een medewerker bijzonder verlof? Verwijder de uren en omzet in tabblad 2a en 2c in specifieke maanden bij die medewerker. Gaat de medewerker uit dienst, verwijder dan ook de kosten bij die medewerker in tabblad 2b.
</t>
    </r>
    <r>
      <rPr>
        <b/>
        <sz val="10"/>
        <rFont val="Work Sans"/>
      </rPr>
      <t xml:space="preserve">Seizoenspatroon: </t>
    </r>
    <r>
      <rPr>
        <sz val="10"/>
        <rFont val="Work Sans"/>
      </rPr>
      <t>geeft de variabele drukte aan. In rustige maanden zet je het getal lager dan 1, in drukke maanden hoger dan 1. Heb je geen seizoenspatronen, vul dan overal 1 in. Het totaal moet altijd uitkomen op 12.</t>
    </r>
  </si>
  <si>
    <t>Maand</t>
  </si>
  <si>
    <t>jan</t>
  </si>
  <si>
    <t>feb</t>
  </si>
  <si>
    <t>mrt</t>
  </si>
  <si>
    <t>apr</t>
  </si>
  <si>
    <t>mei</t>
  </si>
  <si>
    <t>jun</t>
  </si>
  <si>
    <t>jul</t>
  </si>
  <si>
    <t>aug</t>
  </si>
  <si>
    <t>sep</t>
  </si>
  <si>
    <t>okt</t>
  </si>
  <si>
    <t>nov</t>
  </si>
  <si>
    <t>dec</t>
  </si>
  <si>
    <t>totaal</t>
  </si>
  <si>
    <t>Verzuimpercentage</t>
  </si>
  <si>
    <t>Seizoenspatroon*</t>
  </si>
  <si>
    <t>Overzicht kosten per medewerker per maand</t>
  </si>
  <si>
    <r>
      <rPr>
        <sz val="10"/>
        <rFont val="Work Sans"/>
      </rPr>
      <t xml:space="preserve">Dit overzicht wordt berekend op basis van de Invulsheet medewerkers. Pas hier </t>
    </r>
    <r>
      <rPr>
        <b/>
        <sz val="10"/>
        <rFont val="Work Sans"/>
      </rPr>
      <t>niets</t>
    </r>
    <r>
      <rPr>
        <sz val="10"/>
        <rFont val="Work Sans"/>
      </rPr>
      <t xml:space="preserve"> aan, behalve bij bijzonder verlof of uitdiensttreding van een medewerker. 
Verwijder in dat geval de opbrengsten in tabblad 2a, 2b en 2c in specifieke maanden bij die medewerker.</t>
    </r>
  </si>
  <si>
    <t>Medewerkers / Maand</t>
  </si>
  <si>
    <t>Type mdw.</t>
  </si>
  <si>
    <t>Overzicht omzet per medewerker per maand</t>
  </si>
  <si>
    <r>
      <rPr>
        <sz val="10"/>
        <rFont val="Work Sans"/>
      </rPr>
      <t xml:space="preserve">Dit tabblad vult zich automatisch, je hoeft hier dus </t>
    </r>
    <r>
      <rPr>
        <b/>
        <sz val="10"/>
        <rFont val="Work Sans"/>
      </rPr>
      <t>niets</t>
    </r>
    <r>
      <rPr>
        <sz val="10"/>
        <rFont val="Work Sans"/>
      </rPr>
      <t xml:space="preserve"> in te vullen. Het seizoenspatroon en de verzuimuren passen zich aan op basis van tabblad 2. Productieve uren.</t>
    </r>
  </si>
  <si>
    <t>De overige bedragen worden berekend op basis van tabblad 1. Invulsheet medewerkers.</t>
  </si>
  <si>
    <t>Uitzondering: heeft een medewerker bijzonder verlof, of gaat iemand uit dienst? Verwijder de opbrengsten in tabblad 2a, 2b en 2c in specifieke maanden bij die medewerker.</t>
  </si>
  <si>
    <t>Seizoenspatroon</t>
  </si>
  <si>
    <t>Totaal opbrengsten</t>
  </si>
  <si>
    <t>Begroting</t>
  </si>
  <si>
    <t>Dit is je begroting. De berekeningen zijn gebaseerd op de invulsheets van tabbladen 1. Invulsheet medewerkers, 2a. Productieve uren, 2b. Kosten mdw. en 
2c. Omzet mdw. Maak je overzicht compleet door je overige inkomsten en kosten in te vullen bij de witte vlakken.</t>
  </si>
  <si>
    <t>Inkomsten</t>
  </si>
  <si>
    <t>jaar</t>
  </si>
  <si>
    <t>Omzet declarabele medewerkers</t>
  </si>
  <si>
    <t>Omzet doorbelaste kosten (ex btw)</t>
  </si>
  <si>
    <t>Inkoopwaarde omzet</t>
  </si>
  <si>
    <t>Totaal Bruto marge</t>
  </si>
  <si>
    <t>Personeelskosten</t>
  </si>
  <si>
    <t>Personeelskosten declarabel personeel</t>
  </si>
  <si>
    <t>Personeelskosten ondersteunend</t>
  </si>
  <si>
    <t>Directe personeelskosten</t>
  </si>
  <si>
    <t>fte</t>
  </si>
  <si>
    <t>Omzet per fte</t>
  </si>
  <si>
    <t>Bijdrage indirecte kosten</t>
  </si>
  <si>
    <t>Personeelkosten als % van omzet</t>
  </si>
  <si>
    <t>Indirecte kosten</t>
  </si>
  <si>
    <t>Overige personeelskosten</t>
  </si>
  <si>
    <t>Afschrijvingen</t>
  </si>
  <si>
    <t>Huisvestingskosten</t>
  </si>
  <si>
    <t>Kantoorkosten</t>
  </si>
  <si>
    <t>Verkoopkosten</t>
  </si>
  <si>
    <t>Algemene kosten</t>
  </si>
  <si>
    <t>Totaal kosten</t>
  </si>
  <si>
    <t>Resultaat voor belastingen</t>
  </si>
  <si>
    <t>KPI's</t>
  </si>
  <si>
    <t>In onderstaand overzicht vind je de financiële KPI's. Je hebt in de vorige stappen je begroting gemaakt. Nu is het belangrijk dat je jouw resultaten gaat monitoren. Stuur daarbij op onderstaande KPI's. Haal je je beoogde verkooptarief, productiviteit en blijven projecten binnen budget? Dan blijf je binnen je begroting. Lukt dat niet? Pas je begroting tussentijds aan en formuleer actiepunten om zo dicht mogelijk in de buurt te komen.</t>
  </si>
  <si>
    <t>Productiviteit alle medewerkers</t>
  </si>
  <si>
    <t>Directe personeelskosten / omzet personeel</t>
  </si>
  <si>
    <t>Productiviteit directe medewerkers</t>
  </si>
  <si>
    <t>Bedrijfsresultaat voor belastingen (in %)</t>
  </si>
  <si>
    <t>Directe loonkosten per uur</t>
  </si>
  <si>
    <t>Verzuim uren</t>
  </si>
  <si>
    <t>Verzuim</t>
  </si>
  <si>
    <t>Stuur realtime op je KPI's 
met onze bedrijfssoftware</t>
  </si>
  <si>
    <t>Plan jouw demo op www.simplicate.nl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</si>
</sst>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2]\ #,##0"/>
    <numFmt numFmtId="165" formatCode="_ &quot;€&quot;\ * #,##0.00_ ;_ &quot;€&quot;\ * \-#,##0.00_ ;_ &quot;€&quot;\ * &quot;-&quot;??_ ;_ @_ "/>
    <numFmt numFmtId="166" formatCode="#,##0.0"/>
    <numFmt numFmtId="167" formatCode="_ &quot;€&quot;\ * #,##0_ ;_ &quot;€&quot;\ * \-#,##0_ ;_ &quot;€&quot;\ * &quot;-&quot;??_ ;_ @_ "/>
    <numFmt numFmtId="168" formatCode="0.0"/>
    <numFmt numFmtId="169" formatCode="_ * #,##0.00_ ;_ * \-#,##0.00_ ;_ * &quot;-&quot;??_ ;_ @_ "/>
    <numFmt numFmtId="170" formatCode="_ * #,##0.00_ ;_ * \-#,##0.00_ ;_ * &quot;-&quot;??.00_ ;_ @_ "/>
    <numFmt numFmtId="171" formatCode="_ * #,##0_ ;_ * \-#,##0_ ;_ * &quot;-&quot;??_ ;_ @_ "/>
    <numFmt numFmtId="172" formatCode="[$€-2]\ #,##0.00"/>
  </numFmts>
  <fonts count="45" x14ac:knownFonts="1">
    <font>
      <sz val="11"/>
      <color rgb="FF000000"/>
      <name val="Calibri"/>
    </font>
    <font>
      <b/>
      <sz val="24"/>
      <color rgb="FFFFFFFF"/>
      <name val="Work Sans"/>
    </font>
    <font>
      <b/>
      <sz val="16"/>
      <name val="Work Sans"/>
    </font>
    <font>
      <b/>
      <u/>
      <sz val="12"/>
      <color rgb="FF000000"/>
      <name val="Work Sans"/>
    </font>
    <font>
      <sz val="11"/>
      <name val="Calibri"/>
      <family val="2"/>
    </font>
    <font>
      <sz val="10"/>
      <name val="Work Sans"/>
    </font>
    <font>
      <b/>
      <sz val="18"/>
      <name val="Work Sans"/>
    </font>
    <font>
      <b/>
      <sz val="14"/>
      <name val="Work Sans"/>
    </font>
    <font>
      <b/>
      <sz val="10"/>
      <name val="Work Sans"/>
    </font>
    <font>
      <b/>
      <sz val="16"/>
      <color rgb="FF1E1F21"/>
      <name val="Work Sans"/>
    </font>
    <font>
      <b/>
      <u/>
      <sz val="12"/>
      <color rgb="FF000000"/>
      <name val="Work Sans"/>
    </font>
    <font>
      <i/>
      <sz val="10"/>
      <color rgb="FF000000"/>
      <name val="Work Sans"/>
    </font>
    <font>
      <i/>
      <sz val="10"/>
      <color rgb="FF1E1F21"/>
      <name val="Work Sans"/>
    </font>
    <font>
      <sz val="11"/>
      <name val="Work Sans"/>
    </font>
    <font>
      <b/>
      <sz val="11"/>
      <name val="Calibri"/>
      <family val="2"/>
    </font>
    <font>
      <b/>
      <sz val="12"/>
      <color rgb="FFFFFFFF"/>
      <name val="Work Sans"/>
    </font>
    <font>
      <b/>
      <i/>
      <sz val="12"/>
      <color rgb="FFFFFFFF"/>
      <name val="Work Sans"/>
    </font>
    <font>
      <sz val="12"/>
      <color rgb="FFFFFFFF"/>
      <name val="Work Sans"/>
    </font>
    <font>
      <sz val="10"/>
      <color rgb="FF000000"/>
      <name val="Work Sans"/>
    </font>
    <font>
      <sz val="11"/>
      <color rgb="FFFF0000"/>
      <name val="Calibri"/>
      <family val="2"/>
    </font>
    <font>
      <sz val="10"/>
      <color rgb="FFFF0000"/>
      <name val="Work Sans"/>
    </font>
    <font>
      <b/>
      <sz val="11"/>
      <color rgb="FF000000"/>
      <name val="Calibri"/>
      <family val="2"/>
    </font>
    <font>
      <b/>
      <sz val="10"/>
      <color rgb="FF000000"/>
      <name val="Work Sans"/>
    </font>
    <font>
      <b/>
      <sz val="10"/>
      <color rgb="FF9FC5E8"/>
      <name val="Work Sans"/>
    </font>
    <font>
      <sz val="14"/>
      <color rgb="FFFFFFFF"/>
      <name val="Work Sans"/>
    </font>
    <font>
      <sz val="11"/>
      <color rgb="FFFFFFFF"/>
      <name val="Calibri"/>
      <family val="2"/>
    </font>
    <font>
      <b/>
      <sz val="12"/>
      <name val="Work Sans"/>
    </font>
    <font>
      <sz val="10"/>
      <name val="Calibri"/>
      <family val="2"/>
    </font>
    <font>
      <b/>
      <sz val="11"/>
      <name val="Work Sans"/>
    </font>
    <font>
      <b/>
      <sz val="11"/>
      <color rgb="FFFFFFFF"/>
      <name val="Work Sans"/>
    </font>
    <font>
      <b/>
      <sz val="16"/>
      <color rgb="FF000000"/>
      <name val="Work Sans"/>
    </font>
    <font>
      <b/>
      <sz val="18"/>
      <color rgb="FF000000"/>
      <name val="Work Sans"/>
    </font>
    <font>
      <sz val="10"/>
      <color rgb="FF000000"/>
      <name val="Calibri"/>
      <family val="2"/>
    </font>
    <font>
      <b/>
      <sz val="11"/>
      <name val="Work Sans"/>
    </font>
    <font>
      <b/>
      <sz val="11"/>
      <color rgb="FFFFFFFF"/>
      <name val="Work Sans"/>
    </font>
    <font>
      <b/>
      <sz val="10"/>
      <color rgb="FFFFFFFF"/>
      <name val="Work Sans"/>
    </font>
    <font>
      <b/>
      <sz val="11"/>
      <color rgb="FF000000"/>
      <name val="Work Sans"/>
    </font>
    <font>
      <sz val="11"/>
      <name val="Work Sans"/>
    </font>
    <font>
      <b/>
      <u/>
      <sz val="11"/>
      <color rgb="FF000000"/>
      <name val="Work Sans"/>
    </font>
    <font>
      <sz val="11"/>
      <color rgb="FFFFFFFF"/>
      <name val="Work Sans"/>
    </font>
    <font>
      <b/>
      <sz val="14"/>
      <color rgb="FF1E1F21"/>
      <name val="Work Sans"/>
    </font>
    <font>
      <b/>
      <u/>
      <sz val="10"/>
      <color rgb="FF000000"/>
      <name val="Work Sans"/>
    </font>
    <font>
      <b/>
      <sz val="10"/>
      <color rgb="FF1E1F21"/>
      <name val="Work Sans"/>
    </font>
    <font>
      <sz val="12"/>
      <color rgb="FF1E1F21"/>
      <name val="Work Sans"/>
    </font>
    <font>
      <u/>
      <sz val="11"/>
      <color theme="10"/>
      <name val="Calibri"/>
      <family val="2"/>
    </font>
  </fonts>
  <fills count="13">
    <fill>
      <patternFill patternType="none"/>
    </fill>
    <fill>
      <patternFill patternType="gray125"/>
    </fill>
    <fill>
      <patternFill patternType="solid">
        <fgColor rgb="FF352484"/>
        <bgColor rgb="FF352484"/>
      </patternFill>
    </fill>
    <fill>
      <patternFill patternType="solid">
        <fgColor rgb="FFF29C17"/>
        <bgColor rgb="FFF29C17"/>
      </patternFill>
    </fill>
    <fill>
      <patternFill patternType="solid">
        <fgColor rgb="FFCDCAF4"/>
        <bgColor rgb="FFCDCAF4"/>
      </patternFill>
    </fill>
    <fill>
      <patternFill patternType="solid">
        <fgColor rgb="FFA69CF3"/>
        <bgColor rgb="FFA69CF3"/>
      </patternFill>
    </fill>
    <fill>
      <patternFill patternType="solid">
        <fgColor rgb="FFFFFFFF"/>
        <bgColor rgb="FFFFFFFF"/>
      </patternFill>
    </fill>
    <fill>
      <patternFill patternType="solid">
        <fgColor rgb="FFEEECFB"/>
        <bgColor rgb="FFEEECFB"/>
      </patternFill>
    </fill>
    <fill>
      <patternFill patternType="solid">
        <fgColor rgb="FF6557B8"/>
        <bgColor rgb="FF6557B8"/>
      </patternFill>
    </fill>
    <fill>
      <patternFill patternType="solid">
        <fgColor rgb="FF92CA81"/>
        <bgColor rgb="FF92CA81"/>
      </patternFill>
    </fill>
    <fill>
      <patternFill patternType="solid">
        <fgColor rgb="FFBFBCEB"/>
        <bgColor rgb="FFBFBCEB"/>
      </patternFill>
    </fill>
    <fill>
      <patternFill patternType="solid">
        <fgColor rgb="FFCCCCCC"/>
        <bgColor rgb="FFCCCCCC"/>
      </patternFill>
    </fill>
    <fill>
      <patternFill patternType="solid">
        <fgColor rgb="FFD0E8C9"/>
        <bgColor rgb="FFD0E8C9"/>
      </patternFill>
    </fill>
  </fills>
  <borders count="117">
    <border>
      <left/>
      <right/>
      <top/>
      <bottom/>
      <diagonal/>
    </border>
    <border>
      <left style="thin">
        <color rgb="FFF29C17"/>
      </left>
      <right style="thin">
        <color rgb="FFF29C17"/>
      </right>
      <top style="thin">
        <color rgb="FFF29C17"/>
      </top>
      <bottom style="thin">
        <color rgb="FFF29C17"/>
      </bottom>
      <diagonal/>
    </border>
    <border>
      <left style="thin">
        <color rgb="FFF29C17"/>
      </left>
      <right/>
      <top style="thin">
        <color rgb="FFF29C17"/>
      </top>
      <bottom style="thin">
        <color rgb="FFF29C17"/>
      </bottom>
      <diagonal/>
    </border>
    <border>
      <left/>
      <right/>
      <top style="thin">
        <color rgb="FFF29C17"/>
      </top>
      <bottom style="thin">
        <color rgb="FFF29C17"/>
      </bottom>
      <diagonal/>
    </border>
    <border>
      <left/>
      <right style="thin">
        <color rgb="FFF29C17"/>
      </right>
      <top style="thin">
        <color rgb="FFF29C17"/>
      </top>
      <bottom style="thin">
        <color rgb="FFF29C17"/>
      </bottom>
      <diagonal/>
    </border>
    <border>
      <left/>
      <right style="thin">
        <color rgb="FFCDCAF4"/>
      </right>
      <top/>
      <bottom style="thin">
        <color rgb="FFCDCAF4"/>
      </bottom>
      <diagonal/>
    </border>
    <border>
      <left style="thin">
        <color rgb="FFCDCAF4"/>
      </left>
      <right style="thin">
        <color rgb="FFCDCAF4"/>
      </right>
      <top/>
      <bottom style="thin">
        <color rgb="FFCDCAF4"/>
      </bottom>
      <diagonal/>
    </border>
    <border>
      <left/>
      <right/>
      <top/>
      <bottom style="thin">
        <color rgb="FFCDCAF4"/>
      </bottom>
      <diagonal/>
    </border>
    <border>
      <left style="thin">
        <color rgb="FFA69CF3"/>
      </left>
      <right style="thin">
        <color rgb="FFA69CF3"/>
      </right>
      <top/>
      <bottom style="thin">
        <color rgb="FFA69CF3"/>
      </bottom>
      <diagonal/>
    </border>
    <border>
      <left style="thin">
        <color rgb="FFA69CF3"/>
      </left>
      <right/>
      <top/>
      <bottom style="thin">
        <color rgb="FFA69CF3"/>
      </bottom>
      <diagonal/>
    </border>
    <border>
      <left/>
      <right/>
      <top/>
      <bottom style="thin">
        <color rgb="FFA69CF3"/>
      </bottom>
      <diagonal/>
    </border>
    <border>
      <left/>
      <right style="thin">
        <color rgb="FFCDCAF4"/>
      </right>
      <top style="thin">
        <color rgb="FFCDCAF4"/>
      </top>
      <bottom style="thin">
        <color rgb="FFCDCAF4"/>
      </bottom>
      <diagonal/>
    </border>
    <border>
      <left style="thin">
        <color rgb="FFCDCAF4"/>
      </left>
      <right style="thin">
        <color rgb="FFCDCAF4"/>
      </right>
      <top style="thin">
        <color rgb="FFCDCAF4"/>
      </top>
      <bottom style="thin">
        <color rgb="FFCDCAF4"/>
      </bottom>
      <diagonal/>
    </border>
    <border>
      <left style="thin">
        <color rgb="FFA69CF3"/>
      </left>
      <right style="thin">
        <color rgb="FFA69CF3"/>
      </right>
      <top style="thin">
        <color rgb="FFA69CF3"/>
      </top>
      <bottom style="thin">
        <color rgb="FFA69CF3"/>
      </bottom>
      <diagonal/>
    </border>
    <border>
      <left style="thin">
        <color rgb="FFA69CF3"/>
      </left>
      <right/>
      <top style="thin">
        <color rgb="FFA69CF3"/>
      </top>
      <bottom style="thin">
        <color rgb="FFA69CF3"/>
      </bottom>
      <diagonal/>
    </border>
    <border>
      <left/>
      <right/>
      <top style="thin">
        <color rgb="FFA69CF3"/>
      </top>
      <bottom style="thin">
        <color rgb="FFA69CF3"/>
      </bottom>
      <diagonal/>
    </border>
    <border>
      <left style="thin">
        <color rgb="FFA69CF3"/>
      </left>
      <right style="thin">
        <color rgb="FFA69CF3"/>
      </right>
      <top style="thin">
        <color rgb="FFA69CF3"/>
      </top>
      <bottom/>
      <diagonal/>
    </border>
    <border>
      <left style="thin">
        <color rgb="FFCDCAF4"/>
      </left>
      <right style="thin">
        <color rgb="FFCDCAF4"/>
      </right>
      <top style="thin">
        <color rgb="FFCDCAF4"/>
      </top>
      <bottom/>
      <diagonal/>
    </border>
    <border>
      <left style="thin">
        <color rgb="FFCDCAF4"/>
      </left>
      <right style="thin">
        <color rgb="FFCDCAF4"/>
      </right>
      <top/>
      <bottom/>
      <diagonal/>
    </border>
    <border>
      <left/>
      <right/>
      <top style="thin">
        <color rgb="FFCDCAF4"/>
      </top>
      <bottom style="thin">
        <color rgb="FFCDCAF4"/>
      </bottom>
      <diagonal/>
    </border>
    <border>
      <left/>
      <right style="thin">
        <color rgb="FFA69CF3"/>
      </right>
      <top style="thin">
        <color rgb="FFA69CF3"/>
      </top>
      <bottom style="thin">
        <color rgb="FFA69CF3"/>
      </bottom>
      <diagonal/>
    </border>
    <border>
      <left/>
      <right style="thin">
        <color rgb="FFCDCAF4"/>
      </right>
      <top style="thin">
        <color rgb="FFCDCAF4"/>
      </top>
      <bottom/>
      <diagonal/>
    </border>
    <border>
      <left/>
      <right/>
      <top style="thin">
        <color rgb="FFCDCAF4"/>
      </top>
      <bottom/>
      <diagonal/>
    </border>
    <border>
      <left style="thin">
        <color rgb="FFA69CF3"/>
      </left>
      <right/>
      <top style="thin">
        <color rgb="FFA69CF3"/>
      </top>
      <bottom/>
      <diagonal/>
    </border>
    <border>
      <left/>
      <right/>
      <top style="thin">
        <color rgb="FFA69CF3"/>
      </top>
      <bottom/>
      <diagonal/>
    </border>
    <border>
      <left/>
      <right style="thin">
        <color rgb="FFA69CF3"/>
      </right>
      <top style="thin">
        <color rgb="FFA69CF3"/>
      </top>
      <bottom/>
      <diagonal/>
    </border>
    <border>
      <left style="thin">
        <color rgb="FFEEECFB"/>
      </left>
      <right style="thin">
        <color rgb="FFEEECFB"/>
      </right>
      <top style="thin">
        <color rgb="FFEEECFB"/>
      </top>
      <bottom style="thin">
        <color rgb="FFEEECFB"/>
      </bottom>
      <diagonal/>
    </border>
    <border>
      <left/>
      <right style="thin">
        <color rgb="FFCDCAF4"/>
      </right>
      <top/>
      <bottom/>
      <diagonal/>
    </border>
    <border>
      <left/>
      <right style="thin">
        <color rgb="FF352484"/>
      </right>
      <top/>
      <bottom style="thin">
        <color rgb="FF352484"/>
      </bottom>
      <diagonal/>
    </border>
    <border>
      <left style="thin">
        <color rgb="FF352484"/>
      </left>
      <right style="thin">
        <color rgb="FF352484"/>
      </right>
      <top/>
      <bottom style="thin">
        <color rgb="FF352484"/>
      </bottom>
      <diagonal/>
    </border>
    <border>
      <left style="thin">
        <color rgb="FF352484"/>
      </left>
      <right/>
      <top/>
      <bottom style="thin">
        <color rgb="FF352484"/>
      </bottom>
      <diagonal/>
    </border>
    <border>
      <left/>
      <right style="thin">
        <color rgb="FF352484"/>
      </right>
      <top style="thin">
        <color rgb="FF352484"/>
      </top>
      <bottom style="thin">
        <color rgb="FF352484"/>
      </bottom>
      <diagonal/>
    </border>
    <border>
      <left style="thin">
        <color rgb="FF352484"/>
      </left>
      <right style="thin">
        <color rgb="FF352484"/>
      </right>
      <top style="thin">
        <color rgb="FF352484"/>
      </top>
      <bottom style="thin">
        <color rgb="FF352484"/>
      </bottom>
      <diagonal/>
    </border>
    <border>
      <left style="thin">
        <color rgb="FF352484"/>
      </left>
      <right style="thin">
        <color rgb="FF352484"/>
      </right>
      <top style="thin">
        <color rgb="FF352484"/>
      </top>
      <bottom/>
      <diagonal/>
    </border>
    <border>
      <left style="thin">
        <color rgb="FF352484"/>
      </left>
      <right/>
      <top style="thin">
        <color rgb="FF352484"/>
      </top>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9D9D9"/>
      </bottom>
      <diagonal/>
    </border>
    <border>
      <left style="thin">
        <color rgb="FF92CA81"/>
      </left>
      <right style="thin">
        <color rgb="FF92CA81"/>
      </right>
      <top style="thin">
        <color rgb="FF92CA81"/>
      </top>
      <bottom style="thin">
        <color rgb="FF92CA81"/>
      </bottom>
      <diagonal/>
    </border>
    <border>
      <left style="thin">
        <color rgb="FF92CA81"/>
      </left>
      <right/>
      <top style="thin">
        <color rgb="FF92CA81"/>
      </top>
      <bottom style="thin">
        <color rgb="FF92CA81"/>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diagonal/>
    </border>
    <border>
      <left style="thin">
        <color rgb="FFD9D9D9"/>
      </left>
      <right style="thin">
        <color rgb="FFD9D9D9"/>
      </right>
      <top style="thin">
        <color rgb="FFD9D9D9"/>
      </top>
      <bottom/>
      <diagonal/>
    </border>
    <border>
      <left style="thin">
        <color rgb="FFD9D9D9"/>
      </left>
      <right/>
      <top style="thin">
        <color rgb="FFD9D9D9"/>
      </top>
      <bottom/>
      <diagonal/>
    </border>
    <border>
      <left/>
      <right/>
      <top style="thin">
        <color rgb="FFD9D9D9"/>
      </top>
      <bottom/>
      <diagonal/>
    </border>
    <border>
      <left/>
      <right style="thin">
        <color rgb="FF92CA81"/>
      </right>
      <top style="thin">
        <color rgb="FF92CA81"/>
      </top>
      <bottom/>
      <diagonal/>
    </border>
    <border>
      <left style="thin">
        <color rgb="FF92CA81"/>
      </left>
      <right style="thin">
        <color rgb="FF92CA81"/>
      </right>
      <top style="thin">
        <color rgb="FF92CA81"/>
      </top>
      <bottom/>
      <diagonal/>
    </border>
    <border>
      <left style="thin">
        <color rgb="FF92CA81"/>
      </left>
      <right style="thin">
        <color rgb="FF92CA81"/>
      </right>
      <top/>
      <bottom/>
      <diagonal/>
    </border>
    <border>
      <left style="thin">
        <color rgb="FF92CA81"/>
      </left>
      <right/>
      <top style="thin">
        <color rgb="FF92CA81"/>
      </top>
      <bottom/>
      <diagonal/>
    </border>
    <border>
      <left/>
      <right style="thin">
        <color rgb="FF6557B8"/>
      </right>
      <top/>
      <bottom style="thin">
        <color rgb="FF6557B8"/>
      </bottom>
      <diagonal/>
    </border>
    <border>
      <left style="thin">
        <color rgb="FF6557B8"/>
      </left>
      <right style="thin">
        <color rgb="FF6557B8"/>
      </right>
      <top/>
      <bottom style="thin">
        <color rgb="FF6557B8"/>
      </bottom>
      <diagonal/>
    </border>
    <border>
      <left style="thin">
        <color rgb="FF6557B8"/>
      </left>
      <right/>
      <top/>
      <bottom style="thin">
        <color rgb="FF6557B8"/>
      </bottom>
      <diagonal/>
    </border>
    <border>
      <left/>
      <right style="thin">
        <color rgb="FF6557B8"/>
      </right>
      <top style="thin">
        <color rgb="FF6557B8"/>
      </top>
      <bottom style="thin">
        <color rgb="FF6557B8"/>
      </bottom>
      <diagonal/>
    </border>
    <border>
      <left style="thin">
        <color rgb="FF6557B8"/>
      </left>
      <right style="thin">
        <color rgb="FF6557B8"/>
      </right>
      <top style="thin">
        <color rgb="FF6557B8"/>
      </top>
      <bottom style="thin">
        <color rgb="FF6557B8"/>
      </bottom>
      <diagonal/>
    </border>
    <border>
      <left style="thin">
        <color rgb="FF6557B8"/>
      </left>
      <right style="thin">
        <color rgb="FF6557B8"/>
      </right>
      <top style="thin">
        <color rgb="FF6557B8"/>
      </top>
      <bottom/>
      <diagonal/>
    </border>
    <border>
      <left style="thin">
        <color rgb="FF6557B8"/>
      </left>
      <right/>
      <top style="thin">
        <color rgb="FF6557B8"/>
      </top>
      <bottom style="thin">
        <color rgb="FF6557B8"/>
      </bottom>
      <diagonal/>
    </border>
    <border>
      <left/>
      <right/>
      <top/>
      <bottom style="thin">
        <color rgb="FFD9D9D9"/>
      </bottom>
      <diagonal/>
    </border>
    <border>
      <left style="thin">
        <color rgb="FFCDCAF4"/>
      </left>
      <right/>
      <top/>
      <bottom style="thin">
        <color rgb="FFCDCAF4"/>
      </bottom>
      <diagonal/>
    </border>
    <border>
      <left style="thin">
        <color rgb="FFCDCAF4"/>
      </left>
      <right/>
      <top style="thin">
        <color rgb="FFCDCAF4"/>
      </top>
      <bottom style="thin">
        <color rgb="FFCDCAF4"/>
      </bottom>
      <diagonal/>
    </border>
    <border>
      <left style="thin">
        <color rgb="FFCDCAF4"/>
      </left>
      <right/>
      <top style="thin">
        <color rgb="FFCDCAF4"/>
      </top>
      <bottom/>
      <diagonal/>
    </border>
    <border>
      <left style="thin">
        <color rgb="FFEEECFB"/>
      </left>
      <right style="thin">
        <color rgb="FFEEECFB"/>
      </right>
      <top style="thin">
        <color rgb="FFEEECFB"/>
      </top>
      <bottom/>
      <diagonal/>
    </border>
    <border>
      <left style="thin">
        <color rgb="FFEEECFB"/>
      </left>
      <right/>
      <top style="thin">
        <color rgb="FFEEECFB"/>
      </top>
      <bottom style="thin">
        <color rgb="FFEEECFB"/>
      </bottom>
      <diagonal/>
    </border>
    <border>
      <left/>
      <right style="thin">
        <color rgb="FFEEECFB"/>
      </right>
      <top style="thin">
        <color rgb="FFEEECFB"/>
      </top>
      <bottom style="thin">
        <color rgb="FFEEECFB"/>
      </bottom>
      <diagonal/>
    </border>
    <border>
      <left/>
      <right style="thin">
        <color rgb="FFEEECFB"/>
      </right>
      <top/>
      <bottom/>
      <diagonal/>
    </border>
    <border>
      <left/>
      <right/>
      <top style="thin">
        <color rgb="FFEEECFB"/>
      </top>
      <bottom style="thin">
        <color rgb="FFEEECFB"/>
      </bottom>
      <diagonal/>
    </border>
    <border>
      <left/>
      <right style="thin">
        <color rgb="FF352484"/>
      </right>
      <top/>
      <bottom/>
      <diagonal/>
    </border>
    <border>
      <left style="thin">
        <color rgb="FF352484"/>
      </left>
      <right style="thin">
        <color rgb="FF352484"/>
      </right>
      <top/>
      <bottom/>
      <diagonal/>
    </border>
    <border>
      <left style="thin">
        <color rgb="FF352484"/>
      </left>
      <right/>
      <top/>
      <bottom/>
      <diagonal/>
    </border>
    <border>
      <left/>
      <right style="thin">
        <color rgb="FF6557B8"/>
      </right>
      <top style="thin">
        <color rgb="FF6557B8"/>
      </top>
      <bottom/>
      <diagonal/>
    </border>
    <border>
      <left style="thin">
        <color rgb="FF6557B8"/>
      </left>
      <right/>
      <top style="thin">
        <color rgb="FF6557B8"/>
      </top>
      <bottom/>
      <diagonal/>
    </border>
    <border>
      <left/>
      <right/>
      <top style="thin">
        <color rgb="FF92CA81"/>
      </top>
      <bottom style="thin">
        <color rgb="FF92CA81"/>
      </bottom>
      <diagonal/>
    </border>
    <border>
      <left/>
      <right style="thin">
        <color rgb="FF92CA81"/>
      </right>
      <top/>
      <bottom style="thin">
        <color rgb="FF92CA81"/>
      </bottom>
      <diagonal/>
    </border>
    <border>
      <left style="thin">
        <color rgb="FF92CA81"/>
      </left>
      <right style="thin">
        <color rgb="FF92CA81"/>
      </right>
      <top/>
      <bottom style="thin">
        <color rgb="FF92CA81"/>
      </bottom>
      <diagonal/>
    </border>
    <border>
      <left style="thin">
        <color rgb="FFBFBCEB"/>
      </left>
      <right/>
      <top style="thin">
        <color rgb="FFBFBCEB"/>
      </top>
      <bottom style="thin">
        <color rgb="FFBFBCEB"/>
      </bottom>
      <diagonal/>
    </border>
    <border>
      <left style="thin">
        <color rgb="FFCDCAF4"/>
      </left>
      <right/>
      <top style="thin">
        <color rgb="FFBFBCEB"/>
      </top>
      <bottom style="thin">
        <color rgb="FFBFBCEB"/>
      </bottom>
      <diagonal/>
    </border>
    <border>
      <left style="thin">
        <color rgb="FFEEECFB"/>
      </left>
      <right style="thin">
        <color rgb="FFEEECFB"/>
      </right>
      <top style="thin">
        <color rgb="FF92CA81"/>
      </top>
      <bottom style="thin">
        <color rgb="FFEEECFB"/>
      </bottom>
      <diagonal/>
    </border>
    <border>
      <left/>
      <right/>
      <top/>
      <bottom style="thin">
        <color rgb="FFCCCCCC"/>
      </bottom>
      <diagonal/>
    </border>
    <border>
      <left/>
      <right/>
      <top style="thin">
        <color rgb="FFCCCCCC"/>
      </top>
      <bottom style="thin">
        <color rgb="FFCCCCCC"/>
      </bottom>
      <diagonal/>
    </border>
    <border>
      <left/>
      <right style="thin">
        <color rgb="FF92CA81"/>
      </right>
      <top style="thin">
        <color rgb="FF92CA81"/>
      </top>
      <bottom style="thin">
        <color rgb="FF92CA81"/>
      </bottom>
      <diagonal/>
    </border>
    <border>
      <left/>
      <right/>
      <top style="thin">
        <color rgb="FFCCCCCC"/>
      </top>
      <bottom/>
      <diagonal/>
    </border>
    <border>
      <left/>
      <right style="thin">
        <color rgb="FF6557B8"/>
      </right>
      <top/>
      <bottom style="thin">
        <color rgb="FF352484"/>
      </bottom>
      <diagonal/>
    </border>
    <border>
      <left/>
      <right style="thin">
        <color rgb="FFCCCCCC"/>
      </right>
      <top/>
      <bottom style="thin">
        <color rgb="FFCCCCCC"/>
      </bottom>
      <diagonal/>
    </border>
    <border>
      <left style="thin">
        <color rgb="FFCCCCCC"/>
      </left>
      <right style="thin">
        <color rgb="FFCCCCCC"/>
      </right>
      <top/>
      <bottom style="thin">
        <color rgb="FFCCCCCC"/>
      </bottom>
      <diagonal/>
    </border>
    <border>
      <left style="thin">
        <color rgb="FFCCCCCC"/>
      </left>
      <right/>
      <top/>
      <bottom style="thin">
        <color rgb="FFCCCCCC"/>
      </bottom>
      <diagonal/>
    </border>
    <border>
      <left/>
      <right style="thin">
        <color rgb="FFCCCCCC"/>
      </right>
      <top style="thin">
        <color rgb="FFCCCCCC"/>
      </top>
      <bottom/>
      <diagonal/>
    </border>
    <border>
      <left style="thin">
        <color rgb="FFCCCCCC"/>
      </left>
      <right style="thin">
        <color rgb="FFCCCCCC"/>
      </right>
      <top style="thin">
        <color rgb="FFCCCCCC"/>
      </top>
      <bottom/>
      <diagonal/>
    </border>
    <border>
      <left style="thin">
        <color rgb="FFCCCCCC"/>
      </left>
      <right/>
      <top style="thin">
        <color rgb="FFCCCCCC"/>
      </top>
      <bottom/>
      <diagonal/>
    </border>
    <border>
      <left/>
      <right style="thin">
        <color rgb="FFD0E8C9"/>
      </right>
      <top/>
      <bottom/>
      <diagonal/>
    </border>
    <border>
      <left style="thin">
        <color rgb="FFD0E8C9"/>
      </left>
      <right style="thin">
        <color rgb="FFD0E8C9"/>
      </right>
      <top style="thin">
        <color rgb="FF000000"/>
      </top>
      <bottom/>
      <diagonal/>
    </border>
    <border>
      <left style="thin">
        <color rgb="FFD0E8C9"/>
      </left>
      <right/>
      <top style="thin">
        <color rgb="FF000000"/>
      </top>
      <bottom/>
      <diagonal/>
    </border>
    <border>
      <left style="thin">
        <color rgb="FF92CA81"/>
      </left>
      <right/>
      <top style="thin">
        <color rgb="FF000000"/>
      </top>
      <bottom/>
      <diagonal/>
    </border>
    <border>
      <left style="thin">
        <color rgb="FF92CA81"/>
      </left>
      <right/>
      <top/>
      <bottom style="thin">
        <color rgb="FF92CA81"/>
      </bottom>
      <diagonal/>
    </border>
    <border>
      <left/>
      <right style="thin">
        <color rgb="FFD0E8C9"/>
      </right>
      <top style="thin">
        <color rgb="FFD0E8C9"/>
      </top>
      <bottom/>
      <diagonal/>
    </border>
    <border>
      <left/>
      <right style="thin">
        <color rgb="FF6557B8"/>
      </right>
      <top/>
      <bottom/>
      <diagonal/>
    </border>
    <border>
      <left style="thin">
        <color rgb="FF6557B8"/>
      </left>
      <right style="thin">
        <color rgb="FF6557B8"/>
      </right>
      <top/>
      <bottom/>
      <diagonal/>
    </border>
    <border>
      <left style="thin">
        <color rgb="FF6557B8"/>
      </left>
      <right/>
      <top/>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D0E8C9"/>
      </left>
      <right style="thin">
        <color rgb="FFD0E8C9"/>
      </right>
      <top/>
      <bottom/>
      <diagonal/>
    </border>
    <border>
      <left style="thin">
        <color rgb="FFD0E8C9"/>
      </left>
      <right/>
      <top/>
      <bottom/>
      <diagonal/>
    </border>
    <border>
      <left/>
      <right style="thin">
        <color rgb="FFF29C17"/>
      </right>
      <top/>
      <bottom/>
      <diagonal/>
    </border>
    <border>
      <left/>
      <right/>
      <top/>
      <bottom style="thin">
        <color rgb="FF352484"/>
      </bottom>
      <diagonal/>
    </border>
    <border>
      <left style="thin">
        <color rgb="FF6557B8"/>
      </left>
      <right/>
      <top/>
      <bottom style="thin">
        <color rgb="FF352484"/>
      </bottom>
      <diagonal/>
    </border>
    <border>
      <left/>
      <right/>
      <top style="thin">
        <color rgb="FF352484"/>
      </top>
      <bottom/>
      <diagonal/>
    </border>
    <border>
      <left style="thin">
        <color rgb="FF6557B8"/>
      </left>
      <right/>
      <top style="thin">
        <color rgb="FF352484"/>
      </top>
      <bottom/>
      <diagonal/>
    </border>
    <border>
      <left/>
      <right/>
      <top/>
      <bottom style="thin">
        <color rgb="FF6557B8"/>
      </bottom>
      <diagonal/>
    </border>
    <border>
      <left style="thin">
        <color rgb="FFA69CF3"/>
      </left>
      <right/>
      <top/>
      <bottom style="thin">
        <color rgb="FF6557B8"/>
      </bottom>
      <diagonal/>
    </border>
    <border>
      <left/>
      <right/>
      <top style="thin">
        <color rgb="FF6557B8"/>
      </top>
      <bottom/>
      <diagonal/>
    </border>
    <border>
      <left style="thin">
        <color rgb="FFA69CF3"/>
      </left>
      <right/>
      <top style="thin">
        <color rgb="FF6557B8"/>
      </top>
      <bottom/>
      <diagonal/>
    </border>
    <border>
      <left style="thin">
        <color rgb="FFCDCAF4"/>
      </left>
      <right/>
      <top/>
      <bottom style="thin">
        <color rgb="FFA69CF3"/>
      </bottom>
      <diagonal/>
    </border>
    <border>
      <left style="thin">
        <color rgb="FFCDCAF4"/>
      </left>
      <right/>
      <top style="thin">
        <color rgb="FFA69CF3"/>
      </top>
      <bottom/>
      <diagonal/>
    </border>
    <border>
      <left/>
      <right style="thin">
        <color rgb="FFCDCAF4"/>
      </right>
      <top/>
      <bottom style="thin">
        <color rgb="FFEEECFB"/>
      </bottom>
      <diagonal/>
    </border>
    <border>
      <left style="thin">
        <color rgb="FFEEECFB"/>
      </left>
      <right style="thin">
        <color rgb="FFEEECFB"/>
      </right>
      <top/>
      <bottom style="thin">
        <color rgb="FFEEECFB"/>
      </bottom>
      <diagonal/>
    </border>
  </borders>
  <cellStyleXfs count="2">
    <xf numFmtId="0" fontId="0" fillId="0" borderId="0"/>
    <xf numFmtId="0" fontId="44" fillId="0" borderId="0" applyNumberFormat="0" applyFill="0" applyBorder="0" applyAlignment="0" applyProtection="0"/>
  </cellStyleXfs>
  <cellXfs count="380">
    <xf numFmtId="0" fontId="0" fillId="0" borderId="0" xfId="0"/>
    <xf numFmtId="0" fontId="1" fillId="2" borderId="0" xfId="0" applyFont="1" applyFill="1" applyAlignment="1">
      <alignment horizontal="left" vertical="center" wrapText="1"/>
    </xf>
    <xf numFmtId="0" fontId="2" fillId="3" borderId="1" xfId="0" applyFont="1" applyFill="1" applyBorder="1"/>
    <xf numFmtId="0" fontId="5" fillId="4" borderId="5" xfId="0" applyFont="1" applyFill="1" applyBorder="1"/>
    <xf numFmtId="0" fontId="5" fillId="4" borderId="6" xfId="0" applyFont="1" applyFill="1" applyBorder="1" applyAlignment="1">
      <alignment wrapText="1"/>
    </xf>
    <xf numFmtId="0" fontId="5" fillId="4" borderId="7" xfId="0" applyFont="1" applyFill="1" applyBorder="1"/>
    <xf numFmtId="0" fontId="5" fillId="5" borderId="8" xfId="0" applyFont="1" applyFill="1" applyBorder="1"/>
    <xf numFmtId="0" fontId="5" fillId="4" borderId="11" xfId="0" applyFont="1" applyFill="1" applyBorder="1"/>
    <xf numFmtId="0" fontId="6" fillId="4" borderId="12" xfId="0" applyFont="1" applyFill="1" applyBorder="1" applyAlignment="1">
      <alignment wrapText="1"/>
    </xf>
    <xf numFmtId="0" fontId="5" fillId="5" borderId="13" xfId="0" applyFont="1" applyFill="1" applyBorder="1"/>
    <xf numFmtId="0" fontId="6" fillId="5" borderId="13" xfId="0" applyFont="1" applyFill="1" applyBorder="1"/>
    <xf numFmtId="0" fontId="5" fillId="5" borderId="14" xfId="0" applyFont="1" applyFill="1" applyBorder="1"/>
    <xf numFmtId="0" fontId="7" fillId="4" borderId="12" xfId="0" applyFont="1" applyFill="1" applyBorder="1" applyAlignment="1">
      <alignment wrapText="1"/>
    </xf>
    <xf numFmtId="0" fontId="5" fillId="4" borderId="12" xfId="0" applyFont="1" applyFill="1" applyBorder="1" applyAlignment="1">
      <alignment vertical="top" wrapText="1"/>
    </xf>
    <xf numFmtId="0" fontId="5" fillId="5" borderId="13" xfId="0" applyFont="1" applyFill="1" applyBorder="1" applyAlignment="1">
      <alignment vertical="top" wrapText="1"/>
    </xf>
    <xf numFmtId="0" fontId="5" fillId="4" borderId="11" xfId="0" applyFont="1" applyFill="1" applyBorder="1" applyAlignment="1">
      <alignment vertical="center"/>
    </xf>
    <xf numFmtId="0" fontId="5" fillId="5" borderId="16" xfId="0" applyFont="1" applyFill="1" applyBorder="1"/>
    <xf numFmtId="0" fontId="8" fillId="4" borderId="11" xfId="0" applyFont="1" applyFill="1" applyBorder="1" applyAlignment="1">
      <alignment vertical="center"/>
    </xf>
    <xf numFmtId="0" fontId="5" fillId="4" borderId="12" xfId="0" applyFont="1" applyFill="1" applyBorder="1" applyAlignment="1">
      <alignment vertical="center" wrapText="1"/>
    </xf>
    <xf numFmtId="0" fontId="5" fillId="5" borderId="15" xfId="0" applyFont="1" applyFill="1" applyBorder="1"/>
    <xf numFmtId="0" fontId="9" fillId="4" borderId="12" xfId="0" applyFont="1" applyFill="1" applyBorder="1" applyAlignment="1">
      <alignment horizontal="center" wrapText="1"/>
    </xf>
    <xf numFmtId="0" fontId="5" fillId="4" borderId="12" xfId="0" applyFont="1" applyFill="1" applyBorder="1" applyAlignment="1">
      <alignment wrapText="1"/>
    </xf>
    <xf numFmtId="0" fontId="5" fillId="6" borderId="12" xfId="0" applyFont="1" applyFill="1" applyBorder="1" applyAlignment="1">
      <alignment horizontal="center" vertical="center" wrapText="1"/>
    </xf>
    <xf numFmtId="0" fontId="10" fillId="3" borderId="8" xfId="0" applyFont="1" applyFill="1" applyBorder="1" applyAlignment="1">
      <alignment horizontal="center" vertical="center"/>
    </xf>
    <xf numFmtId="0" fontId="5" fillId="4" borderId="19" xfId="0" applyFont="1" applyFill="1" applyBorder="1"/>
    <xf numFmtId="0" fontId="11" fillId="4" borderId="12" xfId="0" applyFont="1" applyFill="1" applyBorder="1" applyAlignment="1">
      <alignment vertical="center" wrapText="1"/>
    </xf>
    <xf numFmtId="0" fontId="4" fillId="4" borderId="21" xfId="0" applyFont="1" applyFill="1" applyBorder="1"/>
    <xf numFmtId="0" fontId="5" fillId="4" borderId="18" xfId="0" applyFont="1" applyFill="1" applyBorder="1" applyAlignment="1">
      <alignment wrapText="1"/>
    </xf>
    <xf numFmtId="0" fontId="4" fillId="4" borderId="22" xfId="0" applyFont="1" applyFill="1" applyBorder="1"/>
    <xf numFmtId="0" fontId="2" fillId="7" borderId="26" xfId="0" applyFont="1" applyFill="1" applyBorder="1"/>
    <xf numFmtId="0" fontId="4" fillId="7" borderId="26" xfId="0" applyFont="1" applyFill="1" applyBorder="1"/>
    <xf numFmtId="164" fontId="4" fillId="7" borderId="26" xfId="0" applyNumberFormat="1" applyFont="1" applyFill="1" applyBorder="1"/>
    <xf numFmtId="0" fontId="6" fillId="7" borderId="26" xfId="0" applyFont="1" applyFill="1" applyBorder="1"/>
    <xf numFmtId="0" fontId="5" fillId="7" borderId="26" xfId="0" applyFont="1" applyFill="1" applyBorder="1"/>
    <xf numFmtId="0" fontId="13" fillId="7" borderId="26" xfId="0" applyFont="1" applyFill="1" applyBorder="1" applyAlignment="1">
      <alignment wrapText="1"/>
    </xf>
    <xf numFmtId="0" fontId="14" fillId="7" borderId="26" xfId="0" applyFont="1" applyFill="1" applyBorder="1"/>
    <xf numFmtId="0" fontId="13" fillId="7" borderId="26" xfId="0" applyFont="1" applyFill="1" applyBorder="1"/>
    <xf numFmtId="3" fontId="13" fillId="7" borderId="26" xfId="0" applyNumberFormat="1" applyFont="1" applyFill="1" applyBorder="1"/>
    <xf numFmtId="9" fontId="13" fillId="6" borderId="0" xfId="0" applyNumberFormat="1" applyFont="1" applyFill="1"/>
    <xf numFmtId="0" fontId="13" fillId="6" borderId="0" xfId="0" applyFont="1" applyFill="1"/>
    <xf numFmtId="0" fontId="15" fillId="2" borderId="28" xfId="0" applyFont="1" applyFill="1" applyBorder="1" applyAlignment="1">
      <alignment vertical="center"/>
    </xf>
    <xf numFmtId="0" fontId="16" fillId="2" borderId="29" xfId="0" applyFont="1" applyFill="1" applyBorder="1" applyAlignment="1">
      <alignment vertical="center"/>
    </xf>
    <xf numFmtId="0" fontId="15" fillId="2" borderId="29" xfId="0" applyFont="1" applyFill="1" applyBorder="1" applyAlignment="1">
      <alignment vertical="center"/>
    </xf>
    <xf numFmtId="165" fontId="15" fillId="2" borderId="29" xfId="0" applyNumberFormat="1" applyFont="1" applyFill="1" applyBorder="1" applyAlignment="1">
      <alignment vertical="center"/>
    </xf>
    <xf numFmtId="164" fontId="15" fillId="2" borderId="29" xfId="0" applyNumberFormat="1" applyFont="1" applyFill="1" applyBorder="1" applyAlignment="1">
      <alignment vertical="center"/>
    </xf>
    <xf numFmtId="0" fontId="17" fillId="2" borderId="29" xfId="0" applyFont="1" applyFill="1" applyBorder="1" applyAlignment="1">
      <alignment vertical="center"/>
    </xf>
    <xf numFmtId="0" fontId="17" fillId="2" borderId="30" xfId="0" applyFont="1" applyFill="1" applyBorder="1" applyAlignment="1">
      <alignment vertical="center"/>
    </xf>
    <xf numFmtId="0" fontId="15" fillId="2" borderId="31" xfId="0" applyFont="1" applyFill="1" applyBorder="1" applyAlignment="1">
      <alignment vertical="center"/>
    </xf>
    <xf numFmtId="0" fontId="16" fillId="2" borderId="32" xfId="0" applyFont="1" applyFill="1" applyBorder="1" applyAlignment="1">
      <alignment vertical="center"/>
    </xf>
    <xf numFmtId="0" fontId="15" fillId="2" borderId="32" xfId="0" applyFont="1" applyFill="1" applyBorder="1" applyAlignment="1">
      <alignment vertical="center"/>
    </xf>
    <xf numFmtId="165" fontId="15" fillId="2" borderId="33" xfId="0" applyNumberFormat="1" applyFont="1" applyFill="1" applyBorder="1" applyAlignment="1">
      <alignment vertical="center"/>
    </xf>
    <xf numFmtId="0" fontId="15" fillId="2" borderId="33" xfId="0" applyFont="1" applyFill="1" applyBorder="1" applyAlignment="1">
      <alignment vertical="center"/>
    </xf>
    <xf numFmtId="164" fontId="15" fillId="2" borderId="33" xfId="0" applyNumberFormat="1" applyFont="1" applyFill="1" applyBorder="1" applyAlignment="1">
      <alignment vertical="center"/>
    </xf>
    <xf numFmtId="0" fontId="17" fillId="2" borderId="32" xfId="0" applyFont="1" applyFill="1" applyBorder="1" applyAlignment="1">
      <alignment vertical="center"/>
    </xf>
    <xf numFmtId="165" fontId="15" fillId="2" borderId="32" xfId="0" applyNumberFormat="1" applyFont="1" applyFill="1" applyBorder="1" applyAlignment="1">
      <alignment vertical="center"/>
    </xf>
    <xf numFmtId="165" fontId="15" fillId="2" borderId="34" xfId="0" applyNumberFormat="1" applyFont="1" applyFill="1" applyBorder="1" applyAlignment="1">
      <alignment vertical="center"/>
    </xf>
    <xf numFmtId="49" fontId="0" fillId="7" borderId="26" xfId="0" applyNumberFormat="1" applyFill="1" applyBorder="1"/>
    <xf numFmtId="49" fontId="18" fillId="6" borderId="35" xfId="0" applyNumberFormat="1" applyFont="1" applyFill="1" applyBorder="1"/>
    <xf numFmtId="3" fontId="18" fillId="6" borderId="36" xfId="0" applyNumberFormat="1" applyFont="1" applyFill="1" applyBorder="1"/>
    <xf numFmtId="1" fontId="18" fillId="6" borderId="37" xfId="0" applyNumberFormat="1" applyFont="1" applyFill="1" applyBorder="1"/>
    <xf numFmtId="166" fontId="18" fillId="4" borderId="12" xfId="0" applyNumberFormat="1" applyFont="1" applyFill="1" applyBorder="1"/>
    <xf numFmtId="167" fontId="18" fillId="0" borderId="0" xfId="0" applyNumberFormat="1" applyFont="1"/>
    <xf numFmtId="167" fontId="5" fillId="4" borderId="12" xfId="0" applyNumberFormat="1" applyFont="1" applyFill="1" applyBorder="1"/>
    <xf numFmtId="164" fontId="5" fillId="4" borderId="12" xfId="0" applyNumberFormat="1" applyFont="1" applyFill="1" applyBorder="1"/>
    <xf numFmtId="0" fontId="5" fillId="0" borderId="0" xfId="0" applyFont="1"/>
    <xf numFmtId="165" fontId="18" fillId="6" borderId="35" xfId="0" applyNumberFormat="1" applyFont="1" applyFill="1" applyBorder="1"/>
    <xf numFmtId="9" fontId="18" fillId="6" borderId="37" xfId="0" applyNumberFormat="1" applyFont="1" applyFill="1" applyBorder="1"/>
    <xf numFmtId="1" fontId="18" fillId="9" borderId="38" xfId="0" applyNumberFormat="1" applyFont="1" applyFill="1" applyBorder="1"/>
    <xf numFmtId="167" fontId="18" fillId="9" borderId="39" xfId="0" applyNumberFormat="1" applyFont="1" applyFill="1" applyBorder="1"/>
    <xf numFmtId="49" fontId="18" fillId="6" borderId="40" xfId="0" applyNumberFormat="1" applyFont="1" applyFill="1" applyBorder="1"/>
    <xf numFmtId="3" fontId="18" fillId="6" borderId="41" xfId="0" applyNumberFormat="1" applyFont="1" applyFill="1" applyBorder="1"/>
    <xf numFmtId="1" fontId="18" fillId="6" borderId="42" xfId="0" applyNumberFormat="1" applyFont="1" applyFill="1" applyBorder="1"/>
    <xf numFmtId="166" fontId="18" fillId="10" borderId="12" xfId="0" applyNumberFormat="1" applyFont="1" applyFill="1" applyBorder="1"/>
    <xf numFmtId="167" fontId="5" fillId="10" borderId="12" xfId="0" applyNumberFormat="1" applyFont="1" applyFill="1" applyBorder="1"/>
    <xf numFmtId="164" fontId="5" fillId="10" borderId="12" xfId="0" applyNumberFormat="1" applyFont="1" applyFill="1" applyBorder="1"/>
    <xf numFmtId="165" fontId="18" fillId="6" borderId="40" xfId="0" applyNumberFormat="1" applyFont="1" applyFill="1" applyBorder="1"/>
    <xf numFmtId="9" fontId="18" fillId="6" borderId="42" xfId="0" applyNumberFormat="1" applyFont="1" applyFill="1" applyBorder="1"/>
    <xf numFmtId="167" fontId="5" fillId="6" borderId="43" xfId="0" applyNumberFormat="1" applyFont="1" applyFill="1" applyBorder="1"/>
    <xf numFmtId="0" fontId="5" fillId="10" borderId="12" xfId="0" applyFont="1" applyFill="1" applyBorder="1"/>
    <xf numFmtId="0" fontId="5" fillId="4" borderId="12" xfId="0" applyFont="1" applyFill="1" applyBorder="1"/>
    <xf numFmtId="49" fontId="19" fillId="7" borderId="26" xfId="0" applyNumberFormat="1" applyFont="1" applyFill="1" applyBorder="1"/>
    <xf numFmtId="49" fontId="20" fillId="6" borderId="40" xfId="0" applyNumberFormat="1" applyFont="1" applyFill="1" applyBorder="1"/>
    <xf numFmtId="3" fontId="5" fillId="6" borderId="41" xfId="0" applyNumberFormat="1" applyFont="1" applyFill="1" applyBorder="1"/>
    <xf numFmtId="49" fontId="20" fillId="6" borderId="44" xfId="0" applyNumberFormat="1" applyFont="1" applyFill="1" applyBorder="1"/>
    <xf numFmtId="3" fontId="18" fillId="6" borderId="45" xfId="0" applyNumberFormat="1" applyFont="1" applyFill="1" applyBorder="1"/>
    <xf numFmtId="1" fontId="18" fillId="6" borderId="46" xfId="0" applyNumberFormat="1" applyFont="1" applyFill="1" applyBorder="1"/>
    <xf numFmtId="167" fontId="5" fillId="6" borderId="47" xfId="0" applyNumberFormat="1" applyFont="1" applyFill="1" applyBorder="1"/>
    <xf numFmtId="165" fontId="18" fillId="6" borderId="44" xfId="0" applyNumberFormat="1" applyFont="1" applyFill="1" applyBorder="1"/>
    <xf numFmtId="9" fontId="18" fillId="6" borderId="46" xfId="0" applyNumberFormat="1" applyFont="1" applyFill="1" applyBorder="1"/>
    <xf numFmtId="49" fontId="21" fillId="7" borderId="26" xfId="0" applyNumberFormat="1" applyFont="1" applyFill="1" applyBorder="1"/>
    <xf numFmtId="49" fontId="22" fillId="9" borderId="48" xfId="0" applyNumberFormat="1" applyFont="1" applyFill="1" applyBorder="1"/>
    <xf numFmtId="3" fontId="23" fillId="9" borderId="49" xfId="0" applyNumberFormat="1" applyFont="1" applyFill="1" applyBorder="1"/>
    <xf numFmtId="2" fontId="22" fillId="9" borderId="49" xfId="0" applyNumberFormat="1" applyFont="1" applyFill="1" applyBorder="1"/>
    <xf numFmtId="166" fontId="22" fillId="9" borderId="50" xfId="0" applyNumberFormat="1" applyFont="1" applyFill="1" applyBorder="1"/>
    <xf numFmtId="0" fontId="5" fillId="9" borderId="49" xfId="0" applyFont="1" applyFill="1" applyBorder="1"/>
    <xf numFmtId="0" fontId="5" fillId="9" borderId="50" xfId="0" applyFont="1" applyFill="1" applyBorder="1"/>
    <xf numFmtId="164" fontId="5" fillId="9" borderId="50" xfId="0" applyNumberFormat="1" applyFont="1" applyFill="1" applyBorder="1"/>
    <xf numFmtId="0" fontId="8" fillId="9" borderId="50" xfId="0" applyFont="1" applyFill="1" applyBorder="1"/>
    <xf numFmtId="165" fontId="22" fillId="9" borderId="49" xfId="0" applyNumberFormat="1" applyFont="1" applyFill="1" applyBorder="1"/>
    <xf numFmtId="10" fontId="22" fillId="9" borderId="49" xfId="0" applyNumberFormat="1" applyFont="1" applyFill="1" applyBorder="1"/>
    <xf numFmtId="0" fontId="22" fillId="9" borderId="49" xfId="0" applyFont="1" applyFill="1" applyBorder="1"/>
    <xf numFmtId="167" fontId="22" fillId="9" borderId="51" xfId="0" applyNumberFormat="1" applyFont="1" applyFill="1" applyBorder="1"/>
    <xf numFmtId="3" fontId="4" fillId="7" borderId="26" xfId="0" applyNumberFormat="1" applyFont="1" applyFill="1" applyBorder="1"/>
    <xf numFmtId="0" fontId="15" fillId="8" borderId="52" xfId="0" applyFont="1" applyFill="1" applyBorder="1" applyAlignment="1">
      <alignment vertical="center"/>
    </xf>
    <xf numFmtId="3" fontId="16" fillId="8" borderId="53" xfId="0" applyNumberFormat="1" applyFont="1" applyFill="1" applyBorder="1" applyAlignment="1">
      <alignment vertical="center"/>
    </xf>
    <xf numFmtId="0" fontId="15" fillId="8" borderId="53" xfId="0" applyFont="1" applyFill="1" applyBorder="1" applyAlignment="1">
      <alignment vertical="center"/>
    </xf>
    <xf numFmtId="165" fontId="15" fillId="8" borderId="53" xfId="0" applyNumberFormat="1" applyFont="1" applyFill="1" applyBorder="1" applyAlignment="1">
      <alignment vertical="center"/>
    </xf>
    <xf numFmtId="164" fontId="15" fillId="8" borderId="53" xfId="0" applyNumberFormat="1" applyFont="1" applyFill="1" applyBorder="1" applyAlignment="1">
      <alignment vertical="center"/>
    </xf>
    <xf numFmtId="165" fontId="15" fillId="8" borderId="54" xfId="0" applyNumberFormat="1" applyFont="1" applyFill="1" applyBorder="1" applyAlignment="1">
      <alignment vertical="center"/>
    </xf>
    <xf numFmtId="0" fontId="15" fillId="8" borderId="55" xfId="0" applyFont="1" applyFill="1" applyBorder="1" applyAlignment="1">
      <alignment vertical="center"/>
    </xf>
    <xf numFmtId="3" fontId="16" fillId="8" borderId="56" xfId="0" applyNumberFormat="1" applyFont="1" applyFill="1" applyBorder="1" applyAlignment="1">
      <alignment vertical="center"/>
    </xf>
    <xf numFmtId="0" fontId="16" fillId="8" borderId="56" xfId="0" applyFont="1" applyFill="1" applyBorder="1" applyAlignment="1">
      <alignment vertical="center"/>
    </xf>
    <xf numFmtId="165" fontId="15" fillId="8" borderId="57" xfId="0" applyNumberFormat="1" applyFont="1" applyFill="1" applyBorder="1" applyAlignment="1">
      <alignment vertical="center"/>
    </xf>
    <xf numFmtId="4" fontId="15" fillId="8" borderId="56" xfId="0" applyNumberFormat="1" applyFont="1" applyFill="1" applyBorder="1" applyAlignment="1">
      <alignment vertical="center"/>
    </xf>
    <xf numFmtId="164" fontId="15" fillId="8" borderId="56" xfId="0" applyNumberFormat="1" applyFont="1" applyFill="1" applyBorder="1" applyAlignment="1">
      <alignment vertical="center"/>
    </xf>
    <xf numFmtId="165" fontId="15" fillId="8" borderId="58" xfId="0" applyNumberFormat="1" applyFont="1" applyFill="1" applyBorder="1" applyAlignment="1">
      <alignment vertical="center"/>
    </xf>
    <xf numFmtId="0" fontId="5" fillId="0" borderId="37" xfId="0" applyFont="1" applyBorder="1"/>
    <xf numFmtId="168" fontId="5" fillId="4" borderId="12" xfId="0" applyNumberFormat="1" applyFont="1" applyFill="1" applyBorder="1"/>
    <xf numFmtId="164" fontId="5" fillId="0" borderId="59" xfId="0" applyNumberFormat="1" applyFont="1" applyBorder="1"/>
    <xf numFmtId="164" fontId="5" fillId="4" borderId="6" xfId="0" applyNumberFormat="1" applyFont="1" applyFill="1" applyBorder="1"/>
    <xf numFmtId="164" fontId="5" fillId="4" borderId="60" xfId="0" applyNumberFormat="1" applyFont="1" applyFill="1" applyBorder="1"/>
    <xf numFmtId="0" fontId="5" fillId="0" borderId="42" xfId="0" applyFont="1" applyBorder="1"/>
    <xf numFmtId="168" fontId="5" fillId="10" borderId="12" xfId="0" applyNumberFormat="1" applyFont="1" applyFill="1" applyBorder="1"/>
    <xf numFmtId="164" fontId="5" fillId="0" borderId="43" xfId="0" applyNumberFormat="1" applyFont="1" applyBorder="1"/>
    <xf numFmtId="164" fontId="5" fillId="10" borderId="61" xfId="0" applyNumberFormat="1" applyFont="1" applyFill="1" applyBorder="1"/>
    <xf numFmtId="0" fontId="5" fillId="4" borderId="61" xfId="0" applyFont="1" applyFill="1" applyBorder="1"/>
    <xf numFmtId="0" fontId="5" fillId="10" borderId="61" xfId="0" applyFont="1" applyFill="1" applyBorder="1"/>
    <xf numFmtId="0" fontId="5" fillId="0" borderId="46" xfId="0" applyFont="1" applyBorder="1"/>
    <xf numFmtId="164" fontId="5" fillId="0" borderId="47" xfId="0" applyNumberFormat="1" applyFont="1" applyBorder="1"/>
    <xf numFmtId="164" fontId="5" fillId="4" borderId="17" xfId="0" applyNumberFormat="1" applyFont="1" applyFill="1" applyBorder="1"/>
    <xf numFmtId="0" fontId="5" fillId="4" borderId="62" xfId="0" applyFont="1" applyFill="1" applyBorder="1"/>
    <xf numFmtId="0" fontId="5" fillId="9" borderId="48" xfId="0" applyFont="1" applyFill="1" applyBorder="1"/>
    <xf numFmtId="168" fontId="8" fillId="9" borderId="50" xfId="0" applyNumberFormat="1" applyFont="1" applyFill="1" applyBorder="1"/>
    <xf numFmtId="164" fontId="5" fillId="9" borderId="49" xfId="0" applyNumberFormat="1" applyFont="1" applyFill="1" applyBorder="1"/>
    <xf numFmtId="164" fontId="8" fillId="9" borderId="51" xfId="0" applyNumberFormat="1" applyFont="1" applyFill="1" applyBorder="1"/>
    <xf numFmtId="0" fontId="4" fillId="7" borderId="63" xfId="0" applyFont="1" applyFill="1" applyBorder="1"/>
    <xf numFmtId="0" fontId="14" fillId="7" borderId="64" xfId="0" applyFont="1" applyFill="1" applyBorder="1"/>
    <xf numFmtId="0" fontId="14" fillId="4" borderId="12" xfId="0" applyFont="1" applyFill="1" applyBorder="1"/>
    <xf numFmtId="0" fontId="4" fillId="4" borderId="12" xfId="0" applyFont="1" applyFill="1" applyBorder="1"/>
    <xf numFmtId="0" fontId="4" fillId="7" borderId="65" xfId="0" applyFont="1" applyFill="1" applyBorder="1"/>
    <xf numFmtId="0" fontId="9" fillId="4" borderId="6" xfId="0" applyFont="1" applyFill="1" applyBorder="1" applyAlignment="1">
      <alignment vertical="center" wrapText="1"/>
    </xf>
    <xf numFmtId="164" fontId="14" fillId="7" borderId="26" xfId="0" applyNumberFormat="1" applyFont="1" applyFill="1" applyBorder="1"/>
    <xf numFmtId="0" fontId="4" fillId="7" borderId="64" xfId="0" applyFont="1" applyFill="1" applyBorder="1"/>
    <xf numFmtId="0" fontId="5" fillId="4" borderId="66" xfId="0" applyFont="1" applyFill="1" applyBorder="1"/>
    <xf numFmtId="0" fontId="4" fillId="7" borderId="0" xfId="0" applyFont="1" applyFill="1"/>
    <xf numFmtId="0" fontId="5" fillId="4" borderId="12" xfId="0" applyFont="1" applyFill="1" applyBorder="1" applyAlignment="1">
      <alignment horizontal="center"/>
    </xf>
    <xf numFmtId="164" fontId="4" fillId="7" borderId="0" xfId="0" applyNumberFormat="1" applyFont="1" applyFill="1"/>
    <xf numFmtId="0" fontId="13" fillId="7" borderId="0" xfId="0" applyFont="1" applyFill="1"/>
    <xf numFmtId="0" fontId="14" fillId="7" borderId="26" xfId="0" applyFont="1" applyFill="1" applyBorder="1" applyAlignment="1">
      <alignment horizontal="right"/>
    </xf>
    <xf numFmtId="0" fontId="24" fillId="7" borderId="26" xfId="0" applyFont="1" applyFill="1" applyBorder="1"/>
    <xf numFmtId="0" fontId="17" fillId="2" borderId="68" xfId="0" applyFont="1" applyFill="1" applyBorder="1" applyAlignment="1">
      <alignment vertical="center"/>
    </xf>
    <xf numFmtId="0" fontId="15" fillId="2" borderId="69" xfId="0" applyFont="1" applyFill="1" applyBorder="1" applyAlignment="1">
      <alignment horizontal="right" vertical="center"/>
    </xf>
    <xf numFmtId="0" fontId="15" fillId="2" borderId="70" xfId="0" applyFont="1" applyFill="1" applyBorder="1" applyAlignment="1">
      <alignment horizontal="right" vertical="center"/>
    </xf>
    <xf numFmtId="0" fontId="25" fillId="7" borderId="26" xfId="0" applyFont="1" applyFill="1" applyBorder="1"/>
    <xf numFmtId="0" fontId="17" fillId="8" borderId="71" xfId="0" applyFont="1" applyFill="1" applyBorder="1" applyAlignment="1">
      <alignment vertical="center"/>
    </xf>
    <xf numFmtId="169" fontId="17" fillId="8" borderId="57" xfId="0" applyNumberFormat="1" applyFont="1" applyFill="1" applyBorder="1" applyAlignment="1">
      <alignment horizontal="right" vertical="center"/>
    </xf>
    <xf numFmtId="169" fontId="17" fillId="8" borderId="72" xfId="0" applyNumberFormat="1" applyFont="1" applyFill="1" applyBorder="1" applyAlignment="1">
      <alignment horizontal="right" vertical="center"/>
    </xf>
    <xf numFmtId="0" fontId="26" fillId="9" borderId="39" xfId="0" applyFont="1" applyFill="1" applyBorder="1" applyAlignment="1">
      <alignment horizontal="right"/>
    </xf>
    <xf numFmtId="10" fontId="5" fillId="6" borderId="0" xfId="0" applyNumberFormat="1" applyFont="1" applyFill="1" applyAlignment="1">
      <alignment horizontal="right"/>
    </xf>
    <xf numFmtId="10" fontId="8" fillId="9" borderId="73" xfId="0" applyNumberFormat="1" applyFont="1" applyFill="1" applyBorder="1" applyAlignment="1">
      <alignment horizontal="right"/>
    </xf>
    <xf numFmtId="169" fontId="5" fillId="6" borderId="0" xfId="0" applyNumberFormat="1" applyFont="1" applyFill="1" applyAlignment="1">
      <alignment horizontal="right"/>
    </xf>
    <xf numFmtId="170" fontId="8" fillId="9" borderId="73" xfId="0" applyNumberFormat="1" applyFont="1" applyFill="1" applyBorder="1" applyAlignment="1">
      <alignment horizontal="right"/>
    </xf>
    <xf numFmtId="0" fontId="8" fillId="9" borderId="74" xfId="0" applyFont="1" applyFill="1" applyBorder="1"/>
    <xf numFmtId="171" fontId="8" fillId="9" borderId="75" xfId="0" applyNumberFormat="1" applyFont="1" applyFill="1" applyBorder="1" applyAlignment="1">
      <alignment horizontal="right"/>
    </xf>
    <xf numFmtId="171" fontId="8" fillId="9" borderId="39" xfId="0" applyNumberFormat="1" applyFont="1" applyFill="1" applyBorder="1" applyAlignment="1">
      <alignment horizontal="right"/>
    </xf>
    <xf numFmtId="49" fontId="5" fillId="4" borderId="5" xfId="0" applyNumberFormat="1" applyFont="1" applyFill="1" applyBorder="1"/>
    <xf numFmtId="171" fontId="5" fillId="4" borderId="6" xfId="0" applyNumberFormat="1" applyFont="1" applyFill="1" applyBorder="1"/>
    <xf numFmtId="171" fontId="5" fillId="4" borderId="60" xfId="0" applyNumberFormat="1" applyFont="1" applyFill="1" applyBorder="1"/>
    <xf numFmtId="171" fontId="5" fillId="9" borderId="39" xfId="0" applyNumberFormat="1" applyFont="1" applyFill="1" applyBorder="1"/>
    <xf numFmtId="49" fontId="5" fillId="10" borderId="11" xfId="0" applyNumberFormat="1" applyFont="1" applyFill="1" applyBorder="1"/>
    <xf numFmtId="171" fontId="5" fillId="10" borderId="12" xfId="0" applyNumberFormat="1" applyFont="1" applyFill="1" applyBorder="1"/>
    <xf numFmtId="171" fontId="5" fillId="10" borderId="61" xfId="0" applyNumberFormat="1" applyFont="1" applyFill="1" applyBorder="1"/>
    <xf numFmtId="49" fontId="5" fillId="4" borderId="11" xfId="0" applyNumberFormat="1" applyFont="1" applyFill="1" applyBorder="1"/>
    <xf numFmtId="171" fontId="5" fillId="4" borderId="12" xfId="0" applyNumberFormat="1" applyFont="1" applyFill="1" applyBorder="1"/>
    <xf numFmtId="171" fontId="5" fillId="4" borderId="61" xfId="0" applyNumberFormat="1" applyFont="1" applyFill="1" applyBorder="1"/>
    <xf numFmtId="49" fontId="5" fillId="10" borderId="21" xfId="0" applyNumberFormat="1" applyFont="1" applyFill="1" applyBorder="1"/>
    <xf numFmtId="171" fontId="5" fillId="10" borderId="17" xfId="0" applyNumberFormat="1" applyFont="1" applyFill="1" applyBorder="1"/>
    <xf numFmtId="171" fontId="5" fillId="10" borderId="62" xfId="0" applyNumberFormat="1" applyFont="1" applyFill="1" applyBorder="1"/>
    <xf numFmtId="0" fontId="4" fillId="4" borderId="17" xfId="0" applyFont="1" applyFill="1" applyBorder="1"/>
    <xf numFmtId="172" fontId="4" fillId="4" borderId="17" xfId="0" applyNumberFormat="1" applyFont="1" applyFill="1" applyBorder="1"/>
    <xf numFmtId="172" fontId="4" fillId="4" borderId="62" xfId="0" applyNumberFormat="1" applyFont="1" applyFill="1" applyBorder="1"/>
    <xf numFmtId="0" fontId="4" fillId="10" borderId="76" xfId="0" applyFont="1" applyFill="1" applyBorder="1"/>
    <xf numFmtId="172" fontId="4" fillId="10" borderId="77" xfId="0" applyNumberFormat="1" applyFont="1" applyFill="1" applyBorder="1"/>
    <xf numFmtId="171" fontId="5" fillId="9" borderId="51" xfId="0" applyNumberFormat="1" applyFont="1" applyFill="1" applyBorder="1"/>
    <xf numFmtId="172" fontId="4" fillId="7" borderId="26" xfId="0" applyNumberFormat="1" applyFont="1" applyFill="1" applyBorder="1"/>
    <xf numFmtId="172" fontId="4" fillId="7" borderId="64" xfId="0" applyNumberFormat="1" applyFont="1" applyFill="1" applyBorder="1"/>
    <xf numFmtId="171" fontId="5" fillId="7" borderId="78" xfId="0" applyNumberFormat="1" applyFont="1" applyFill="1" applyBorder="1"/>
    <xf numFmtId="171" fontId="5" fillId="7" borderId="26" xfId="0" applyNumberFormat="1" applyFont="1" applyFill="1" applyBorder="1"/>
    <xf numFmtId="0" fontId="4" fillId="11" borderId="26" xfId="0" applyFont="1" applyFill="1" applyBorder="1"/>
    <xf numFmtId="0" fontId="4" fillId="11" borderId="7" xfId="0" applyFont="1" applyFill="1" applyBorder="1"/>
    <xf numFmtId="0" fontId="4" fillId="11" borderId="79" xfId="0" applyFont="1" applyFill="1" applyBorder="1"/>
    <xf numFmtId="0" fontId="4" fillId="11" borderId="80" xfId="0" applyFont="1" applyFill="1" applyBorder="1"/>
    <xf numFmtId="0" fontId="15" fillId="2" borderId="68" xfId="0" applyFont="1" applyFill="1" applyBorder="1" applyAlignment="1">
      <alignment vertical="center"/>
    </xf>
    <xf numFmtId="0" fontId="15" fillId="9" borderId="38" xfId="0" applyFont="1" applyFill="1" applyBorder="1" applyAlignment="1">
      <alignment horizontal="right" vertical="center"/>
    </xf>
    <xf numFmtId="0" fontId="8" fillId="9" borderId="81" xfId="0" applyFont="1" applyFill="1" applyBorder="1" applyAlignment="1">
      <alignment vertical="center"/>
    </xf>
    <xf numFmtId="169" fontId="8" fillId="9" borderId="38" xfId="0" applyNumberFormat="1" applyFont="1" applyFill="1" applyBorder="1" applyAlignment="1">
      <alignment horizontal="right" vertical="center"/>
    </xf>
    <xf numFmtId="0" fontId="4" fillId="7" borderId="80" xfId="0" applyFont="1" applyFill="1" applyBorder="1"/>
    <xf numFmtId="49" fontId="5" fillId="4" borderId="5" xfId="0" applyNumberFormat="1" applyFont="1" applyFill="1" applyBorder="1" applyAlignment="1">
      <alignment vertical="center"/>
    </xf>
    <xf numFmtId="164" fontId="5" fillId="4" borderId="6" xfId="0" applyNumberFormat="1" applyFont="1" applyFill="1" applyBorder="1" applyAlignment="1">
      <alignment vertical="center"/>
    </xf>
    <xf numFmtId="164" fontId="5" fillId="4" borderId="60" xfId="0" applyNumberFormat="1" applyFont="1" applyFill="1" applyBorder="1" applyAlignment="1">
      <alignment vertical="center"/>
    </xf>
    <xf numFmtId="164" fontId="8" fillId="9" borderId="38" xfId="0" applyNumberFormat="1" applyFont="1" applyFill="1" applyBorder="1" applyAlignment="1">
      <alignment horizontal="right" vertical="center"/>
    </xf>
    <xf numFmtId="49" fontId="5" fillId="10" borderId="11" xfId="0" applyNumberFormat="1" applyFont="1" applyFill="1" applyBorder="1" applyAlignment="1">
      <alignment vertical="center"/>
    </xf>
    <xf numFmtId="164" fontId="5" fillId="10" borderId="12" xfId="0" applyNumberFormat="1" applyFont="1" applyFill="1" applyBorder="1" applyAlignment="1">
      <alignment vertical="center"/>
    </xf>
    <xf numFmtId="164" fontId="5" fillId="10" borderId="61" xfId="0" applyNumberFormat="1" applyFont="1" applyFill="1" applyBorder="1" applyAlignment="1">
      <alignment vertical="center"/>
    </xf>
    <xf numFmtId="49" fontId="5" fillId="4" borderId="11" xfId="0" applyNumberFormat="1" applyFont="1" applyFill="1" applyBorder="1" applyAlignment="1">
      <alignment vertical="center"/>
    </xf>
    <xf numFmtId="164" fontId="5" fillId="4" borderId="12" xfId="0" applyNumberFormat="1" applyFont="1" applyFill="1" applyBorder="1" applyAlignment="1">
      <alignment vertical="center"/>
    </xf>
    <xf numFmtId="164" fontId="5" fillId="4" borderId="61" xfId="0" applyNumberFormat="1" applyFont="1" applyFill="1" applyBorder="1" applyAlignment="1">
      <alignment vertical="center"/>
    </xf>
    <xf numFmtId="49" fontId="5" fillId="10" borderId="21" xfId="0" applyNumberFormat="1" applyFont="1" applyFill="1" applyBorder="1" applyAlignment="1">
      <alignment vertical="center"/>
    </xf>
    <xf numFmtId="164" fontId="5" fillId="10" borderId="17" xfId="0" applyNumberFormat="1" applyFont="1" applyFill="1" applyBorder="1" applyAlignment="1">
      <alignment vertical="center"/>
    </xf>
    <xf numFmtId="164" fontId="5" fillId="10" borderId="62" xfId="0" applyNumberFormat="1" applyFont="1" applyFill="1" applyBorder="1" applyAlignment="1">
      <alignment vertical="center"/>
    </xf>
    <xf numFmtId="0" fontId="4" fillId="11" borderId="82" xfId="0" applyFont="1" applyFill="1" applyBorder="1"/>
    <xf numFmtId="0" fontId="8" fillId="9" borderId="38" xfId="0" applyFont="1" applyFill="1" applyBorder="1" applyAlignment="1">
      <alignment horizontal="right" vertical="center"/>
    </xf>
    <xf numFmtId="0" fontId="8" fillId="7" borderId="38" xfId="0" applyFont="1" applyFill="1" applyBorder="1" applyAlignment="1">
      <alignment horizontal="right" vertical="center"/>
    </xf>
    <xf numFmtId="0" fontId="27" fillId="7" borderId="26" xfId="0" applyFont="1" applyFill="1" applyBorder="1"/>
    <xf numFmtId="0" fontId="18" fillId="7" borderId="0" xfId="0" applyFont="1" applyFill="1" applyAlignment="1">
      <alignment horizontal="left"/>
    </xf>
    <xf numFmtId="0" fontId="28" fillId="7" borderId="26" xfId="0" applyFont="1" applyFill="1" applyBorder="1" applyAlignment="1">
      <alignment horizontal="right"/>
    </xf>
    <xf numFmtId="0" fontId="29" fillId="9" borderId="39" xfId="0" applyFont="1" applyFill="1" applyBorder="1" applyAlignment="1">
      <alignment horizontal="right" vertical="center"/>
    </xf>
    <xf numFmtId="0" fontId="5" fillId="5" borderId="20" xfId="0" applyFont="1" applyFill="1" applyBorder="1"/>
    <xf numFmtId="10" fontId="5" fillId="5" borderId="13" xfId="0" applyNumberFormat="1" applyFont="1" applyFill="1" applyBorder="1" applyAlignment="1">
      <alignment horizontal="right"/>
    </xf>
    <xf numFmtId="10" fontId="5" fillId="5" borderId="14" xfId="0" applyNumberFormat="1" applyFont="1" applyFill="1" applyBorder="1" applyAlignment="1">
      <alignment horizontal="right"/>
    </xf>
    <xf numFmtId="10" fontId="8" fillId="9" borderId="39" xfId="0" applyNumberFormat="1" applyFont="1" applyFill="1" applyBorder="1" applyAlignment="1">
      <alignment horizontal="right"/>
    </xf>
    <xf numFmtId="4" fontId="5" fillId="5" borderId="13" xfId="0" applyNumberFormat="1" applyFont="1" applyFill="1" applyBorder="1" applyAlignment="1">
      <alignment horizontal="right"/>
    </xf>
    <xf numFmtId="4" fontId="5" fillId="5" borderId="14" xfId="0" applyNumberFormat="1" applyFont="1" applyFill="1" applyBorder="1" applyAlignment="1">
      <alignment horizontal="right"/>
    </xf>
    <xf numFmtId="170" fontId="8" fillId="9" borderId="39" xfId="0" applyNumberFormat="1" applyFont="1" applyFill="1" applyBorder="1" applyAlignment="1">
      <alignment horizontal="right"/>
    </xf>
    <xf numFmtId="164" fontId="8" fillId="9" borderId="5" xfId="0" applyNumberFormat="1" applyFont="1" applyFill="1" applyBorder="1"/>
    <xf numFmtId="164" fontId="8" fillId="9" borderId="6" xfId="0" applyNumberFormat="1" applyFont="1" applyFill="1" applyBorder="1" applyAlignment="1">
      <alignment horizontal="right"/>
    </xf>
    <xf numFmtId="164" fontId="8" fillId="9" borderId="60" xfId="0" applyNumberFormat="1" applyFont="1" applyFill="1" applyBorder="1" applyAlignment="1">
      <alignment horizontal="right"/>
    </xf>
    <xf numFmtId="164" fontId="8" fillId="9" borderId="39" xfId="0" applyNumberFormat="1" applyFont="1" applyFill="1" applyBorder="1" applyAlignment="1">
      <alignment horizontal="right"/>
    </xf>
    <xf numFmtId="164" fontId="5" fillId="4" borderId="11" xfId="0" applyNumberFormat="1" applyFont="1" applyFill="1" applyBorder="1"/>
    <xf numFmtId="164" fontId="5" fillId="4" borderId="61" xfId="0" applyNumberFormat="1" applyFont="1" applyFill="1" applyBorder="1"/>
    <xf numFmtId="164" fontId="5" fillId="9" borderId="39" xfId="0" applyNumberFormat="1" applyFont="1" applyFill="1" applyBorder="1"/>
    <xf numFmtId="164" fontId="5" fillId="10" borderId="11" xfId="0" applyNumberFormat="1" applyFont="1" applyFill="1" applyBorder="1"/>
    <xf numFmtId="164" fontId="5" fillId="10" borderId="21" xfId="0" applyNumberFormat="1" applyFont="1" applyFill="1" applyBorder="1"/>
    <xf numFmtId="164" fontId="5" fillId="10" borderId="17" xfId="0" applyNumberFormat="1" applyFont="1" applyFill="1" applyBorder="1"/>
    <xf numFmtId="164" fontId="5" fillId="10" borderId="62" xfId="0" applyNumberFormat="1" applyFont="1" applyFill="1" applyBorder="1"/>
    <xf numFmtId="164" fontId="5" fillId="9" borderId="51" xfId="0" applyNumberFormat="1" applyFont="1" applyFill="1" applyBorder="1"/>
    <xf numFmtId="171" fontId="4" fillId="7" borderId="26" xfId="0" applyNumberFormat="1" applyFont="1" applyFill="1" applyBorder="1"/>
    <xf numFmtId="0" fontId="4" fillId="9" borderId="38" xfId="0" applyFont="1" applyFill="1" applyBorder="1"/>
    <xf numFmtId="0" fontId="30" fillId="7" borderId="26" xfId="0" applyFont="1" applyFill="1" applyBorder="1"/>
    <xf numFmtId="1" fontId="0" fillId="7" borderId="26" xfId="0" applyNumberFormat="1" applyFill="1" applyBorder="1"/>
    <xf numFmtId="0" fontId="31" fillId="7" borderId="26" xfId="0" applyFont="1" applyFill="1" applyBorder="1"/>
    <xf numFmtId="0" fontId="5" fillId="7" borderId="26" xfId="0" applyFont="1" applyFill="1" applyBorder="1" applyAlignment="1">
      <alignment vertical="center" wrapText="1"/>
    </xf>
    <xf numFmtId="0" fontId="4" fillId="7" borderId="26" xfId="0" applyFont="1" applyFill="1" applyBorder="1" applyAlignment="1">
      <alignment vertical="center" wrapText="1"/>
    </xf>
    <xf numFmtId="0" fontId="21" fillId="7" borderId="26" xfId="0" applyFont="1" applyFill="1" applyBorder="1" applyAlignment="1">
      <alignment horizontal="right"/>
    </xf>
    <xf numFmtId="0" fontId="14" fillId="7" borderId="26" xfId="0" applyFont="1" applyFill="1" applyBorder="1" applyAlignment="1">
      <alignment vertical="center"/>
    </xf>
    <xf numFmtId="0" fontId="28" fillId="7" borderId="26" xfId="0" applyFont="1" applyFill="1" applyBorder="1" applyAlignment="1">
      <alignment vertical="center"/>
    </xf>
    <xf numFmtId="0" fontId="15" fillId="2" borderId="83" xfId="0" applyFont="1" applyFill="1" applyBorder="1" applyAlignment="1">
      <alignment horizontal="right" vertical="center"/>
    </xf>
    <xf numFmtId="0" fontId="15" fillId="2" borderId="0" xfId="0" applyFont="1" applyFill="1" applyAlignment="1">
      <alignment horizontal="right" vertical="center"/>
    </xf>
    <xf numFmtId="0" fontId="0" fillId="7" borderId="26" xfId="0" applyFill="1" applyBorder="1"/>
    <xf numFmtId="0" fontId="18" fillId="7" borderId="26" xfId="0" applyFont="1" applyFill="1" applyBorder="1"/>
    <xf numFmtId="167" fontId="18" fillId="4" borderId="5" xfId="0" applyNumberFormat="1" applyFont="1" applyFill="1" applyBorder="1" applyAlignment="1">
      <alignment horizontal="center"/>
    </xf>
    <xf numFmtId="167" fontId="18" fillId="4" borderId="6" xfId="0" applyNumberFormat="1" applyFont="1" applyFill="1" applyBorder="1" applyAlignment="1">
      <alignment horizontal="center"/>
    </xf>
    <xf numFmtId="167" fontId="18" fillId="4" borderId="60" xfId="0" applyNumberFormat="1" applyFont="1" applyFill="1" applyBorder="1" applyAlignment="1">
      <alignment horizontal="center"/>
    </xf>
    <xf numFmtId="167" fontId="18" fillId="9" borderId="39" xfId="0" applyNumberFormat="1" applyFont="1" applyFill="1" applyBorder="1" applyAlignment="1">
      <alignment horizontal="center"/>
    </xf>
    <xf numFmtId="167" fontId="18" fillId="0" borderId="84" xfId="0" applyNumberFormat="1" applyFont="1" applyBorder="1" applyAlignment="1">
      <alignment horizontal="center"/>
    </xf>
    <xf numFmtId="167" fontId="18" fillId="0" borderId="85" xfId="0" applyNumberFormat="1" applyFont="1" applyBorder="1" applyAlignment="1">
      <alignment horizontal="center"/>
    </xf>
    <xf numFmtId="167" fontId="18" fillId="0" borderId="86" xfId="0" applyNumberFormat="1" applyFont="1" applyBorder="1" applyAlignment="1">
      <alignment horizontal="center"/>
    </xf>
    <xf numFmtId="167" fontId="18" fillId="0" borderId="87" xfId="0" applyNumberFormat="1" applyFont="1" applyBorder="1" applyAlignment="1">
      <alignment horizontal="center"/>
    </xf>
    <xf numFmtId="167" fontId="18" fillId="0" borderId="88" xfId="0" applyNumberFormat="1" applyFont="1" applyBorder="1" applyAlignment="1">
      <alignment horizontal="center"/>
    </xf>
    <xf numFmtId="167" fontId="18" fillId="0" borderId="89" xfId="0" applyNumberFormat="1" applyFont="1" applyBorder="1" applyAlignment="1">
      <alignment horizontal="center"/>
    </xf>
    <xf numFmtId="167" fontId="18" fillId="9" borderId="51" xfId="0" applyNumberFormat="1" applyFont="1" applyFill="1" applyBorder="1" applyAlignment="1">
      <alignment horizontal="center"/>
    </xf>
    <xf numFmtId="0" fontId="8" fillId="12" borderId="90" xfId="0" applyFont="1" applyFill="1" applyBorder="1" applyAlignment="1">
      <alignment vertical="center"/>
    </xf>
    <xf numFmtId="167" fontId="22" fillId="12" borderId="91" xfId="0" applyNumberFormat="1" applyFont="1" applyFill="1" applyBorder="1" applyAlignment="1">
      <alignment horizontal="center" vertical="center"/>
    </xf>
    <xf numFmtId="167" fontId="22" fillId="12" borderId="92" xfId="0" applyNumberFormat="1" applyFont="1" applyFill="1" applyBorder="1" applyAlignment="1">
      <alignment horizontal="center" vertical="center"/>
    </xf>
    <xf numFmtId="167" fontId="22" fillId="9" borderId="93" xfId="0" applyNumberFormat="1" applyFont="1" applyFill="1" applyBorder="1" applyAlignment="1">
      <alignment horizontal="center" vertical="center"/>
    </xf>
    <xf numFmtId="0" fontId="33" fillId="7" borderId="26" xfId="0" applyFont="1" applyFill="1" applyBorder="1"/>
    <xf numFmtId="167" fontId="18" fillId="4" borderId="6" xfId="0" applyNumberFormat="1" applyFont="1" applyFill="1" applyBorder="1"/>
    <xf numFmtId="167" fontId="18" fillId="4" borderId="60" xfId="0" applyNumberFormat="1" applyFont="1" applyFill="1" applyBorder="1"/>
    <xf numFmtId="167" fontId="18" fillId="9" borderId="94" xfId="0" applyNumberFormat="1" applyFont="1" applyFill="1" applyBorder="1"/>
    <xf numFmtId="0" fontId="5" fillId="10" borderId="21" xfId="0" applyFont="1" applyFill="1" applyBorder="1"/>
    <xf numFmtId="167" fontId="18" fillId="10" borderId="17" xfId="0" applyNumberFormat="1" applyFont="1" applyFill="1" applyBorder="1"/>
    <xf numFmtId="167" fontId="18" fillId="10" borderId="62" xfId="0" applyNumberFormat="1" applyFont="1" applyFill="1" applyBorder="1"/>
    <xf numFmtId="167" fontId="18" fillId="9" borderId="51" xfId="0" applyNumberFormat="1" applyFont="1" applyFill="1" applyBorder="1"/>
    <xf numFmtId="0" fontId="8" fillId="12" borderId="95" xfId="0" applyFont="1" applyFill="1" applyBorder="1" applyAlignment="1">
      <alignment vertical="center"/>
    </xf>
    <xf numFmtId="167" fontId="22" fillId="12" borderId="91" xfId="0" applyNumberFormat="1" applyFont="1" applyFill="1" applyBorder="1" applyAlignment="1">
      <alignment vertical="center"/>
    </xf>
    <xf numFmtId="167" fontId="22" fillId="12" borderId="92" xfId="0" applyNumberFormat="1" applyFont="1" applyFill="1" applyBorder="1" applyAlignment="1">
      <alignment vertical="center"/>
    </xf>
    <xf numFmtId="167" fontId="22" fillId="9" borderId="93" xfId="0" applyNumberFormat="1" applyFont="1" applyFill="1" applyBorder="1" applyAlignment="1">
      <alignment vertical="center"/>
    </xf>
    <xf numFmtId="0" fontId="34" fillId="8" borderId="96" xfId="0" applyFont="1" applyFill="1" applyBorder="1"/>
    <xf numFmtId="166" fontId="35" fillId="8" borderId="97" xfId="0" applyNumberFormat="1" applyFont="1" applyFill="1" applyBorder="1"/>
    <xf numFmtId="4" fontId="35" fillId="8" borderId="98" xfId="0" applyNumberFormat="1" applyFont="1" applyFill="1" applyBorder="1"/>
    <xf numFmtId="0" fontId="36" fillId="5" borderId="25" xfId="0" applyFont="1" applyFill="1" applyBorder="1"/>
    <xf numFmtId="164" fontId="22" fillId="5" borderId="16" xfId="0" applyNumberFormat="1" applyFont="1" applyFill="1" applyBorder="1"/>
    <xf numFmtId="164" fontId="22" fillId="5" borderId="23" xfId="0" applyNumberFormat="1" applyFont="1" applyFill="1" applyBorder="1"/>
    <xf numFmtId="0" fontId="8" fillId="7" borderId="26" xfId="0" applyFont="1" applyFill="1" applyBorder="1"/>
    <xf numFmtId="0" fontId="33" fillId="4" borderId="5" xfId="0" applyFont="1" applyFill="1" applyBorder="1"/>
    <xf numFmtId="167" fontId="8" fillId="4" borderId="6" xfId="0" applyNumberFormat="1" applyFont="1" applyFill="1" applyBorder="1"/>
    <xf numFmtId="167" fontId="8" fillId="4" borderId="60" xfId="0" applyNumberFormat="1" applyFont="1" applyFill="1" applyBorder="1"/>
    <xf numFmtId="0" fontId="37" fillId="10" borderId="21" xfId="0" applyFont="1" applyFill="1" applyBorder="1"/>
    <xf numFmtId="10" fontId="5" fillId="10" borderId="17" xfId="0" applyNumberFormat="1" applyFont="1" applyFill="1" applyBorder="1"/>
    <xf numFmtId="10" fontId="5" fillId="10" borderId="62" xfId="0" applyNumberFormat="1" applyFont="1" applyFill="1" applyBorder="1"/>
    <xf numFmtId="0" fontId="21" fillId="7" borderId="26" xfId="0" applyFont="1" applyFill="1" applyBorder="1"/>
    <xf numFmtId="0" fontId="36" fillId="7" borderId="26" xfId="0" applyFont="1" applyFill="1" applyBorder="1"/>
    <xf numFmtId="167" fontId="32" fillId="7" borderId="26" xfId="0" applyNumberFormat="1" applyFont="1" applyFill="1" applyBorder="1"/>
    <xf numFmtId="167" fontId="5" fillId="0" borderId="84" xfId="0" applyNumberFormat="1" applyFont="1" applyBorder="1"/>
    <xf numFmtId="167" fontId="5" fillId="0" borderId="85" xfId="0" applyNumberFormat="1" applyFont="1" applyBorder="1"/>
    <xf numFmtId="167" fontId="5" fillId="0" borderId="86" xfId="0" applyNumberFormat="1" applyFont="1" applyBorder="1"/>
    <xf numFmtId="167" fontId="5" fillId="9" borderId="94" xfId="0" applyNumberFormat="1" applyFont="1" applyFill="1" applyBorder="1"/>
    <xf numFmtId="167" fontId="5" fillId="0" borderId="99" xfId="0" applyNumberFormat="1" applyFont="1" applyBorder="1"/>
    <xf numFmtId="167" fontId="5" fillId="0" borderId="100" xfId="0" applyNumberFormat="1" applyFont="1" applyBorder="1"/>
    <xf numFmtId="167" fontId="5" fillId="0" borderId="101" xfId="0" applyNumberFormat="1" applyFont="1" applyBorder="1"/>
    <xf numFmtId="167" fontId="5" fillId="9" borderId="39" xfId="0" applyNumberFormat="1" applyFont="1" applyFill="1" applyBorder="1"/>
    <xf numFmtId="167" fontId="5" fillId="0" borderId="87" xfId="0" applyNumberFormat="1" applyFont="1" applyBorder="1"/>
    <xf numFmtId="167" fontId="5" fillId="0" borderId="88" xfId="0" applyNumberFormat="1" applyFont="1" applyBorder="1"/>
    <xf numFmtId="167" fontId="5" fillId="0" borderId="89" xfId="0" applyNumberFormat="1" applyFont="1" applyBorder="1"/>
    <xf numFmtId="167" fontId="5" fillId="9" borderId="51" xfId="0" applyNumberFormat="1" applyFont="1" applyFill="1" applyBorder="1"/>
    <xf numFmtId="0" fontId="33" fillId="12" borderId="90" xfId="0" applyFont="1" applyFill="1" applyBorder="1" applyAlignment="1">
      <alignment vertical="center"/>
    </xf>
    <xf numFmtId="167" fontId="8" fillId="12" borderId="91" xfId="0" applyNumberFormat="1" applyFont="1" applyFill="1" applyBorder="1" applyAlignment="1">
      <alignment vertical="center"/>
    </xf>
    <xf numFmtId="167" fontId="8" fillId="9" borderId="92" xfId="0" applyNumberFormat="1" applyFont="1" applyFill="1" applyBorder="1" applyAlignment="1">
      <alignment vertical="center"/>
    </xf>
    <xf numFmtId="0" fontId="37" fillId="7" borderId="26" xfId="0" applyFont="1" applyFill="1" applyBorder="1"/>
    <xf numFmtId="167" fontId="8" fillId="12" borderId="102" xfId="0" applyNumberFormat="1" applyFont="1" applyFill="1" applyBorder="1" applyAlignment="1">
      <alignment vertical="center"/>
    </xf>
    <xf numFmtId="167" fontId="8" fillId="9" borderId="103" xfId="0" applyNumberFormat="1" applyFont="1" applyFill="1" applyBorder="1" applyAlignment="1">
      <alignment vertical="center"/>
    </xf>
    <xf numFmtId="10" fontId="8" fillId="7" borderId="26" xfId="0" applyNumberFormat="1" applyFont="1" applyFill="1" applyBorder="1"/>
    <xf numFmtId="0" fontId="33" fillId="7" borderId="26" xfId="0" applyFont="1" applyFill="1" applyBorder="1" applyAlignment="1">
      <alignment horizontal="center"/>
    </xf>
    <xf numFmtId="0" fontId="36" fillId="7" borderId="26" xfId="0" applyFont="1" applyFill="1" applyBorder="1" applyAlignment="1">
      <alignment horizontal="center" vertical="center"/>
    </xf>
    <xf numFmtId="0" fontId="33" fillId="7" borderId="26" xfId="0" applyFont="1" applyFill="1" applyBorder="1" applyAlignment="1">
      <alignment horizontal="center" vertical="center"/>
    </xf>
    <xf numFmtId="0" fontId="29" fillId="7" borderId="26" xfId="0" applyFont="1" applyFill="1" applyBorder="1" applyAlignment="1">
      <alignment horizontal="center"/>
    </xf>
    <xf numFmtId="0" fontId="15" fillId="2" borderId="105" xfId="0" applyFont="1" applyFill="1" applyBorder="1" applyAlignment="1">
      <alignment horizontal="center"/>
    </xf>
    <xf numFmtId="0" fontId="15" fillId="2" borderId="106" xfId="0" applyFont="1" applyFill="1" applyBorder="1" applyAlignment="1">
      <alignment horizontal="center"/>
    </xf>
    <xf numFmtId="0" fontId="39" fillId="7" borderId="26" xfId="0" applyFont="1" applyFill="1" applyBorder="1" applyAlignment="1">
      <alignment horizontal="center" vertical="top"/>
    </xf>
    <xf numFmtId="164" fontId="39" fillId="2" borderId="107" xfId="0" applyNumberFormat="1" applyFont="1" applyFill="1" applyBorder="1" applyAlignment="1">
      <alignment horizontal="center" vertical="top"/>
    </xf>
    <xf numFmtId="10" fontId="39" fillId="2" borderId="108" xfId="0" applyNumberFormat="1" applyFont="1" applyFill="1" applyBorder="1" applyAlignment="1">
      <alignment horizontal="center" vertical="top"/>
    </xf>
    <xf numFmtId="172" fontId="39" fillId="2" borderId="108" xfId="0" applyNumberFormat="1" applyFont="1" applyFill="1" applyBorder="1" applyAlignment="1">
      <alignment horizontal="center" vertical="top"/>
    </xf>
    <xf numFmtId="0" fontId="4" fillId="7" borderId="26" xfId="0" applyFont="1" applyFill="1" applyBorder="1" applyAlignment="1">
      <alignment vertical="top"/>
    </xf>
    <xf numFmtId="0" fontId="15" fillId="8" borderId="109" xfId="0" applyFont="1" applyFill="1" applyBorder="1" applyAlignment="1">
      <alignment horizontal="center"/>
    </xf>
    <xf numFmtId="0" fontId="15" fillId="8" borderId="110" xfId="0" applyFont="1" applyFill="1" applyBorder="1" applyAlignment="1">
      <alignment horizontal="center"/>
    </xf>
    <xf numFmtId="10" fontId="39" fillId="7" borderId="26" xfId="0" applyNumberFormat="1" applyFont="1" applyFill="1" applyBorder="1" applyAlignment="1">
      <alignment horizontal="center" vertical="top"/>
    </xf>
    <xf numFmtId="10" fontId="39" fillId="8" borderId="111" xfId="0" applyNumberFormat="1" applyFont="1" applyFill="1" applyBorder="1" applyAlignment="1">
      <alignment horizontal="center" vertical="top"/>
    </xf>
    <xf numFmtId="10" fontId="39" fillId="8" borderId="112" xfId="0" applyNumberFormat="1" applyFont="1" applyFill="1" applyBorder="1" applyAlignment="1">
      <alignment horizontal="center" vertical="top"/>
    </xf>
    <xf numFmtId="0" fontId="4" fillId="7" borderId="26" xfId="0" applyFont="1" applyFill="1" applyBorder="1" applyAlignment="1">
      <alignment vertical="center"/>
    </xf>
    <xf numFmtId="0" fontId="28" fillId="7" borderId="26" xfId="0" applyFont="1" applyFill="1" applyBorder="1" applyAlignment="1">
      <alignment horizontal="center"/>
    </xf>
    <xf numFmtId="0" fontId="26" fillId="5" borderId="10" xfId="0" applyFont="1" applyFill="1" applyBorder="1" applyAlignment="1">
      <alignment horizontal="center"/>
    </xf>
    <xf numFmtId="0" fontId="26" fillId="5" borderId="113" xfId="0" applyFont="1" applyFill="1" applyBorder="1" applyAlignment="1">
      <alignment horizontal="center"/>
    </xf>
    <xf numFmtId="172" fontId="13" fillId="7" borderId="26" xfId="0" applyNumberFormat="1" applyFont="1" applyFill="1" applyBorder="1" applyAlignment="1">
      <alignment horizontal="center" vertical="top"/>
    </xf>
    <xf numFmtId="172" fontId="13" fillId="5" borderId="24" xfId="0" applyNumberFormat="1" applyFont="1" applyFill="1" applyBorder="1" applyAlignment="1">
      <alignment horizontal="center" vertical="top"/>
    </xf>
    <xf numFmtId="4" fontId="13" fillId="5" borderId="114" xfId="0" applyNumberFormat="1" applyFont="1" applyFill="1" applyBorder="1" applyAlignment="1">
      <alignment horizontal="center" vertical="top"/>
    </xf>
    <xf numFmtId="10" fontId="13" fillId="5" borderId="114" xfId="0" applyNumberFormat="1" applyFont="1" applyFill="1" applyBorder="1" applyAlignment="1">
      <alignment horizontal="center" vertical="top"/>
    </xf>
    <xf numFmtId="0" fontId="4" fillId="4" borderId="60" xfId="0" applyFont="1" applyFill="1" applyBorder="1"/>
    <xf numFmtId="0" fontId="40" fillId="7" borderId="26" xfId="0" applyFont="1" applyFill="1" applyBorder="1" applyAlignment="1">
      <alignment vertical="center"/>
    </xf>
    <xf numFmtId="0" fontId="41" fillId="3" borderId="0" xfId="0" applyFont="1" applyFill="1" applyAlignment="1">
      <alignment horizontal="center" vertical="center"/>
    </xf>
    <xf numFmtId="0" fontId="4" fillId="4" borderId="62" xfId="0" applyFont="1" applyFill="1" applyBorder="1"/>
    <xf numFmtId="0" fontId="42" fillId="7" borderId="26" xfId="0" applyFont="1" applyFill="1" applyBorder="1" applyAlignment="1">
      <alignment horizontal="center" vertical="center"/>
    </xf>
    <xf numFmtId="0" fontId="4" fillId="7" borderId="116" xfId="0" applyFont="1" applyFill="1" applyBorder="1"/>
    <xf numFmtId="0" fontId="1" fillId="2" borderId="0" xfId="0" applyFont="1" applyFill="1" applyAlignment="1">
      <alignment horizontal="left" vertical="center" wrapText="1"/>
    </xf>
    <xf numFmtId="0" fontId="0" fillId="0" borderId="0" xfId="0"/>
    <xf numFmtId="0" fontId="3" fillId="3" borderId="2" xfId="0" applyFont="1" applyFill="1" applyBorder="1" applyAlignment="1">
      <alignment horizontal="left" vertical="center" wrapText="1"/>
    </xf>
    <xf numFmtId="0" fontId="4" fillId="0" borderId="3" xfId="0" applyFont="1" applyBorder="1"/>
    <xf numFmtId="0" fontId="4" fillId="0" borderId="4" xfId="0" applyFont="1" applyBorder="1"/>
    <xf numFmtId="0" fontId="5" fillId="3" borderId="2" xfId="0" applyFont="1" applyFill="1" applyBorder="1"/>
    <xf numFmtId="0" fontId="5" fillId="5" borderId="9" xfId="0" applyFont="1" applyFill="1" applyBorder="1"/>
    <xf numFmtId="0" fontId="4" fillId="0" borderId="10" xfId="0" applyFont="1" applyBorder="1"/>
    <xf numFmtId="0" fontId="5" fillId="5" borderId="14" xfId="0" applyFont="1" applyFill="1" applyBorder="1"/>
    <xf numFmtId="0" fontId="4" fillId="0" borderId="15" xfId="0" applyFont="1" applyBorder="1"/>
    <xf numFmtId="0" fontId="5" fillId="5" borderId="15" xfId="0" applyFont="1" applyFill="1" applyBorder="1"/>
    <xf numFmtId="0" fontId="4" fillId="0" borderId="20" xfId="0" applyFont="1" applyBorder="1"/>
    <xf numFmtId="0" fontId="12" fillId="5" borderId="14" xfId="0" applyFont="1" applyFill="1" applyBorder="1" applyAlignment="1">
      <alignment vertical="center"/>
    </xf>
    <xf numFmtId="0" fontId="5" fillId="5" borderId="23" xfId="0" applyFont="1" applyFill="1" applyBorder="1"/>
    <xf numFmtId="0" fontId="4" fillId="0" borderId="24" xfId="0" applyFont="1" applyBorder="1"/>
    <xf numFmtId="0" fontId="4" fillId="0" borderId="25" xfId="0" applyFont="1" applyBorder="1"/>
    <xf numFmtId="0" fontId="5" fillId="4" borderId="17" xfId="0" applyFont="1" applyFill="1" applyBorder="1" applyAlignment="1">
      <alignment horizontal="center"/>
    </xf>
    <xf numFmtId="0" fontId="4" fillId="0" borderId="18" xfId="0" applyFont="1" applyBorder="1"/>
    <xf numFmtId="0" fontId="4" fillId="0" borderId="6" xfId="0" applyFont="1" applyBorder="1"/>
    <xf numFmtId="0" fontId="2" fillId="7" borderId="0" xfId="0" applyFont="1" applyFill="1"/>
    <xf numFmtId="0" fontId="15" fillId="8" borderId="0" xfId="0" applyFont="1" applyFill="1" applyAlignment="1">
      <alignment vertical="center"/>
    </xf>
    <xf numFmtId="0" fontId="4" fillId="0" borderId="27" xfId="0" applyFont="1" applyBorder="1"/>
    <xf numFmtId="0" fontId="5" fillId="4" borderId="18" xfId="0" applyFont="1" applyFill="1" applyBorder="1" applyAlignment="1">
      <alignment horizontal="center"/>
    </xf>
    <xf numFmtId="0" fontId="9" fillId="4" borderId="60" xfId="0" applyFont="1" applyFill="1" applyBorder="1" applyAlignment="1">
      <alignment horizontal="center" vertical="center" wrapText="1"/>
    </xf>
    <xf numFmtId="0" fontId="4" fillId="0" borderId="7" xfId="0" applyFont="1" applyBorder="1"/>
    <xf numFmtId="0" fontId="4" fillId="0" borderId="5" xfId="0" applyFont="1" applyBorder="1"/>
    <xf numFmtId="0" fontId="18" fillId="4" borderId="7" xfId="0" applyFont="1" applyFill="1" applyBorder="1" applyAlignment="1">
      <alignment horizontal="center" vertical="center"/>
    </xf>
    <xf numFmtId="0" fontId="5" fillId="7" borderId="64" xfId="0" applyFont="1" applyFill="1" applyBorder="1" applyAlignment="1">
      <alignment wrapText="1"/>
    </xf>
    <xf numFmtId="0" fontId="4" fillId="0" borderId="67" xfId="0" applyFont="1" applyBorder="1"/>
    <xf numFmtId="0" fontId="5" fillId="7" borderId="64" xfId="0" applyFont="1" applyFill="1" applyBorder="1" applyAlignment="1">
      <alignment vertical="center" wrapText="1"/>
    </xf>
    <xf numFmtId="0" fontId="4" fillId="0" borderId="65" xfId="0" applyFont="1" applyBorder="1"/>
    <xf numFmtId="0" fontId="38" fillId="3" borderId="0" xfId="0" applyFont="1" applyFill="1" applyAlignment="1">
      <alignment horizontal="center" vertical="center"/>
    </xf>
    <xf numFmtId="0" fontId="4" fillId="0" borderId="104" xfId="0" applyFont="1" applyBorder="1"/>
    <xf numFmtId="0" fontId="5" fillId="4" borderId="27" xfId="0" applyFont="1" applyFill="1" applyBorder="1" applyAlignment="1">
      <alignment horizontal="center"/>
    </xf>
    <xf numFmtId="0" fontId="4" fillId="0" borderId="115" xfId="0" applyFont="1" applyBorder="1"/>
    <xf numFmtId="0" fontId="44" fillId="3" borderId="7" xfId="1" applyFill="1" applyBorder="1" applyAlignment="1">
      <alignment horizontal="center" vertical="center"/>
    </xf>
    <xf numFmtId="0" fontId="44" fillId="0" borderId="7" xfId="1" applyBorder="1"/>
    <xf numFmtId="0" fontId="44" fillId="0" borderId="5" xfId="1" applyBorder="1"/>
  </cellXfs>
  <cellStyles count="2">
    <cellStyle name="Hyperlink" xfId="1" builtinId="8"/>
    <cellStyle name="Standaard" xfId="0" builtinId="0"/>
  </cellStyles>
  <dxfs count="2">
    <dxf>
      <fill>
        <patternFill patternType="solid">
          <fgColor rgb="FFEA9999"/>
          <bgColor rgb="FFEA9999"/>
        </patternFill>
      </fill>
    </dxf>
    <dxf>
      <fill>
        <patternFill patternType="solid">
          <fgColor rgb="FFEA9999"/>
          <bgColor rgb="FFEA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4743450" cy="11811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2222500</xdr:colOff>
      <xdr:row>9</xdr:row>
      <xdr:rowOff>50800</xdr:rowOff>
    </xdr:from>
    <xdr:ext cx="1384300" cy="1519354"/>
    <xdr:pic>
      <xdr:nvPicPr>
        <xdr:cNvPr id="3" name="image4.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9309100" y="5562600"/>
          <a:ext cx="1384300" cy="151935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133475" cy="4000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215900</xdr:colOff>
      <xdr:row>52</xdr:row>
      <xdr:rowOff>101600</xdr:rowOff>
    </xdr:from>
    <xdr:ext cx="1562100" cy="15621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635000" y="10655300"/>
          <a:ext cx="1562100" cy="15621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162050" cy="4095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133475" cy="4000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076325" cy="3810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1104900" cy="3905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181100" cy="4191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304800</xdr:colOff>
      <xdr:row>18</xdr:row>
      <xdr:rowOff>12699</xdr:rowOff>
    </xdr:from>
    <xdr:ext cx="3048000" cy="1858140"/>
    <xdr:pic>
      <xdr:nvPicPr>
        <xdr:cNvPr id="3" name="image5.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xfrm>
          <a:off x="673100" y="4749799"/>
          <a:ext cx="3048000" cy="1858140"/>
        </a:xfrm>
        <a:prstGeom prst="rect">
          <a:avLst/>
        </a:prstGeom>
        <a:noFill/>
      </xdr:spPr>
    </xdr:pic>
    <xdr:clientData fLocksWithSheet="0"/>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implicate.com/nl/plan-een-demo/?utm_source=website&amp;utm_medium=referral&amp;utm_campaign=simplicate_q3_2025&amp;utm_content=b_calculator" TargetMode="External"/><Relationship Id="rId1" Type="http://schemas.openxmlformats.org/officeDocument/2006/relationships/hyperlink" Target="https://www.simplicate.com/nl/plan-een-demo/?utm_source=website&amp;utm_medium=referral&amp;utm_campaign=simplicate_q3_2025&amp;utm_content=b_calculato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simplicate.com/nl/campagne/impact-van-ai-op-je-begroting/?utm_source=website&amp;utm_medium=referral&amp;utm_campaign=simplicate_q3_2025&amp;utm_content=b_calculator" TargetMode="External"/><Relationship Id="rId1" Type="http://schemas.openxmlformats.org/officeDocument/2006/relationships/hyperlink" Target="https://www.simplicate.com/nl/campagne/impact-van-ai-op-je-begroting/?utm_source=website&amp;utm_medium=referral&amp;utm_campaign=simplicate_q3_2025&amp;utm_content=b_calculato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www.simplicate.com/nl/plan-een-demo/?utm_source=website&amp;utm_medium=referral&amp;utm_campaign=simplicate_q3_2025&amp;utm_content=b_calculator" TargetMode="External"/><Relationship Id="rId1" Type="http://schemas.openxmlformats.org/officeDocument/2006/relationships/hyperlink" Target="https://www.simplicate.com/nl/plan-een-demo/?utm_source=website&amp;utm_medium=referral&amp;utm_campaign=simplicate_q3_2024&amp;utm_content=b_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9"/>
  <sheetViews>
    <sheetView workbookViewId="0">
      <selection activeCell="B7" sqref="B7"/>
    </sheetView>
  </sheetViews>
  <sheetFormatPr baseColWidth="10" defaultColWidth="14.5" defaultRowHeight="15" customHeight="1" x14ac:dyDescent="0.2"/>
  <cols>
    <col min="1" max="1" width="9.6640625" customWidth="1"/>
    <col min="2" max="2" width="71.1640625" customWidth="1"/>
    <col min="3" max="3" width="6.1640625" customWidth="1"/>
    <col min="4" max="4" width="6" customWidth="1"/>
    <col min="5" max="5" width="75.1640625" customWidth="1"/>
    <col min="6" max="10" width="10.33203125" customWidth="1"/>
  </cols>
  <sheetData>
    <row r="1" spans="1:10" ht="154.5" customHeight="1" x14ac:dyDescent="0.2">
      <c r="A1" s="1"/>
      <c r="B1" s="342"/>
      <c r="C1" s="343"/>
      <c r="D1" s="343"/>
      <c r="E1" s="343"/>
      <c r="F1" s="343"/>
      <c r="G1" s="343"/>
      <c r="H1" s="343"/>
      <c r="I1" s="343"/>
      <c r="J1" s="343"/>
    </row>
    <row r="2" spans="1:10" ht="36.75" customHeight="1" x14ac:dyDescent="0.2">
      <c r="A2" s="2"/>
      <c r="B2" s="344" t="s">
        <v>0</v>
      </c>
      <c r="C2" s="345"/>
      <c r="D2" s="345"/>
      <c r="E2" s="346"/>
      <c r="F2" s="347"/>
      <c r="G2" s="345"/>
      <c r="H2" s="345"/>
      <c r="I2" s="345"/>
      <c r="J2" s="346"/>
    </row>
    <row r="3" spans="1:10" ht="23.25" customHeight="1" x14ac:dyDescent="0.2">
      <c r="A3" s="3"/>
      <c r="B3" s="4"/>
      <c r="C3" s="5"/>
      <c r="D3" s="6"/>
      <c r="E3" s="6"/>
      <c r="F3" s="348"/>
      <c r="G3" s="349"/>
      <c r="H3" s="349"/>
      <c r="I3" s="349"/>
      <c r="J3" s="349"/>
    </row>
    <row r="4" spans="1:10" ht="23" x14ac:dyDescent="0.25">
      <c r="A4" s="7"/>
      <c r="B4" s="8" t="s">
        <v>1</v>
      </c>
      <c r="C4" s="7"/>
      <c r="D4" s="9"/>
      <c r="E4" s="10" t="s">
        <v>2</v>
      </c>
      <c r="F4" s="350"/>
      <c r="G4" s="351"/>
      <c r="H4" s="351"/>
      <c r="I4" s="351"/>
      <c r="J4" s="351"/>
    </row>
    <row r="5" spans="1:10" ht="17" x14ac:dyDescent="0.2">
      <c r="A5" s="7"/>
      <c r="B5" s="12"/>
      <c r="C5" s="7"/>
      <c r="D5" s="9"/>
      <c r="E5" s="9"/>
      <c r="F5" s="350"/>
      <c r="G5" s="351"/>
      <c r="H5" s="351"/>
      <c r="I5" s="351"/>
      <c r="J5" s="351"/>
    </row>
    <row r="6" spans="1:10" ht="91" x14ac:dyDescent="0.2">
      <c r="A6" s="7"/>
      <c r="B6" s="13" t="s">
        <v>3</v>
      </c>
      <c r="C6" s="7"/>
      <c r="D6" s="9"/>
      <c r="E6" s="14" t="s">
        <v>4</v>
      </c>
      <c r="F6" s="350"/>
      <c r="G6" s="351"/>
      <c r="H6" s="351"/>
      <c r="I6" s="351"/>
      <c r="J6" s="351"/>
    </row>
    <row r="7" spans="1:10" ht="31.5" customHeight="1" x14ac:dyDescent="0.2">
      <c r="A7" s="15"/>
      <c r="B7" s="12" t="s">
        <v>5</v>
      </c>
      <c r="C7" s="7"/>
      <c r="D7" s="9"/>
      <c r="E7" s="16"/>
      <c r="F7" s="350"/>
      <c r="G7" s="351"/>
      <c r="H7" s="351"/>
      <c r="I7" s="351"/>
      <c r="J7" s="351"/>
    </row>
    <row r="8" spans="1:10" ht="31.5" customHeight="1" x14ac:dyDescent="0.2">
      <c r="A8" s="17" t="s">
        <v>6</v>
      </c>
      <c r="B8" s="18" t="s">
        <v>7</v>
      </c>
      <c r="C8" s="7"/>
      <c r="D8" s="11"/>
      <c r="E8" s="16"/>
      <c r="F8" s="352"/>
      <c r="G8" s="351"/>
      <c r="H8" s="351"/>
      <c r="I8" s="351"/>
      <c r="J8" s="351"/>
    </row>
    <row r="9" spans="1:10" ht="28.5" customHeight="1" x14ac:dyDescent="0.2">
      <c r="A9" s="17" t="s">
        <v>8</v>
      </c>
      <c r="B9" s="18" t="s">
        <v>9</v>
      </c>
      <c r="C9" s="7"/>
      <c r="D9" s="11"/>
      <c r="E9" s="20" t="s">
        <v>10</v>
      </c>
      <c r="F9" s="352"/>
      <c r="G9" s="351"/>
      <c r="H9" s="351"/>
      <c r="I9" s="351"/>
      <c r="J9" s="351"/>
    </row>
    <row r="10" spans="1:10" ht="33.75" customHeight="1" x14ac:dyDescent="0.2">
      <c r="A10" s="17" t="s">
        <v>11</v>
      </c>
      <c r="B10" s="18" t="s">
        <v>12</v>
      </c>
      <c r="C10" s="7"/>
      <c r="D10" s="11"/>
      <c r="E10" s="358"/>
      <c r="F10" s="352"/>
      <c r="G10" s="351"/>
      <c r="H10" s="351"/>
      <c r="I10" s="351"/>
      <c r="J10" s="351"/>
    </row>
    <row r="11" spans="1:10" ht="28.5" customHeight="1" x14ac:dyDescent="0.2">
      <c r="A11" s="17" t="s">
        <v>13</v>
      </c>
      <c r="B11" s="18" t="s">
        <v>14</v>
      </c>
      <c r="C11" s="7"/>
      <c r="D11" s="11"/>
      <c r="E11" s="359"/>
      <c r="F11" s="352"/>
      <c r="G11" s="351"/>
      <c r="H11" s="351"/>
      <c r="I11" s="351"/>
      <c r="J11" s="351"/>
    </row>
    <row r="12" spans="1:10" ht="31.5" customHeight="1" x14ac:dyDescent="0.2">
      <c r="A12" s="17" t="s">
        <v>15</v>
      </c>
      <c r="B12" s="18" t="s">
        <v>16</v>
      </c>
      <c r="C12" s="7"/>
      <c r="D12" s="11"/>
      <c r="E12" s="359"/>
      <c r="F12" s="352"/>
      <c r="G12" s="351"/>
      <c r="H12" s="351"/>
      <c r="I12" s="351"/>
      <c r="J12" s="351"/>
    </row>
    <row r="13" spans="1:10" ht="26" x14ac:dyDescent="0.2">
      <c r="A13" s="17" t="s">
        <v>17</v>
      </c>
      <c r="B13" s="18" t="s">
        <v>18</v>
      </c>
      <c r="C13" s="7"/>
      <c r="D13" s="11"/>
      <c r="E13" s="359"/>
      <c r="F13" s="352"/>
      <c r="G13" s="351"/>
      <c r="H13" s="351"/>
      <c r="I13" s="351"/>
      <c r="J13" s="351"/>
    </row>
    <row r="14" spans="1:10" x14ac:dyDescent="0.2">
      <c r="A14" s="17"/>
      <c r="B14" s="21"/>
      <c r="C14" s="7"/>
      <c r="D14" s="11"/>
      <c r="E14" s="360"/>
      <c r="F14" s="352"/>
      <c r="G14" s="351"/>
      <c r="H14" s="351"/>
      <c r="I14" s="351"/>
      <c r="J14" s="351"/>
    </row>
    <row r="15" spans="1:10" ht="36" customHeight="1" x14ac:dyDescent="0.2">
      <c r="A15" s="17"/>
      <c r="B15" s="22" t="s">
        <v>19</v>
      </c>
      <c r="C15" s="15"/>
      <c r="D15" s="9"/>
      <c r="E15" s="23" t="s">
        <v>20</v>
      </c>
      <c r="F15" s="350"/>
      <c r="G15" s="351"/>
      <c r="H15" s="351"/>
      <c r="I15" s="351"/>
      <c r="J15" s="351"/>
    </row>
    <row r="16" spans="1:10" x14ac:dyDescent="0.2">
      <c r="A16" s="7"/>
      <c r="B16" s="21"/>
      <c r="C16" s="24"/>
      <c r="D16" s="350"/>
      <c r="E16" s="351"/>
      <c r="F16" s="351"/>
      <c r="G16" s="351"/>
      <c r="H16" s="351"/>
      <c r="I16" s="351"/>
      <c r="J16" s="353"/>
    </row>
    <row r="17" spans="1:10" x14ac:dyDescent="0.2">
      <c r="A17" s="7"/>
      <c r="B17" s="21"/>
      <c r="C17" s="24"/>
      <c r="D17" s="350"/>
      <c r="E17" s="351"/>
      <c r="F17" s="351"/>
      <c r="G17" s="351"/>
      <c r="H17" s="351"/>
      <c r="I17" s="351"/>
      <c r="J17" s="353"/>
    </row>
    <row r="18" spans="1:10" x14ac:dyDescent="0.2">
      <c r="A18" s="7"/>
      <c r="B18" s="25"/>
      <c r="C18" s="24"/>
      <c r="D18" s="354"/>
      <c r="E18" s="351"/>
      <c r="F18" s="351"/>
      <c r="G18" s="351"/>
      <c r="H18" s="351"/>
      <c r="I18" s="351"/>
      <c r="J18" s="353"/>
    </row>
    <row r="19" spans="1:10" x14ac:dyDescent="0.2">
      <c r="A19" s="26"/>
      <c r="B19" s="27"/>
      <c r="C19" s="28"/>
      <c r="D19" s="355"/>
      <c r="E19" s="356"/>
      <c r="F19" s="356"/>
      <c r="G19" s="356"/>
      <c r="H19" s="356"/>
      <c r="I19" s="356"/>
      <c r="J19" s="357"/>
    </row>
  </sheetData>
  <mergeCells count="21">
    <mergeCell ref="D16:J16"/>
    <mergeCell ref="D17:J17"/>
    <mergeCell ref="D18:J18"/>
    <mergeCell ref="D19:J19"/>
    <mergeCell ref="F7:J7"/>
    <mergeCell ref="F8:J8"/>
    <mergeCell ref="F9:J9"/>
    <mergeCell ref="E10:E14"/>
    <mergeCell ref="F10:J10"/>
    <mergeCell ref="F11:J11"/>
    <mergeCell ref="F12:J12"/>
    <mergeCell ref="F5:J5"/>
    <mergeCell ref="F6:J6"/>
    <mergeCell ref="F13:J13"/>
    <mergeCell ref="F14:J14"/>
    <mergeCell ref="F15:J15"/>
    <mergeCell ref="B1:J1"/>
    <mergeCell ref="B2:E2"/>
    <mergeCell ref="F2:J2"/>
    <mergeCell ref="F3:J3"/>
    <mergeCell ref="F4:J4"/>
  </mergeCells>
  <hyperlinks>
    <hyperlink ref="B2" r:id="rId1" xr:uid="{00000000-0004-0000-0000-000000000000}"/>
    <hyperlink ref="E15"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9CB9C"/>
    <outlinePr summaryBelow="0" summaryRight="0"/>
  </sheetPr>
  <dimension ref="A1:Z71"/>
  <sheetViews>
    <sheetView topLeftCell="A27" workbookViewId="0">
      <selection activeCell="G56" sqref="G56"/>
    </sheetView>
  </sheetViews>
  <sheetFormatPr baseColWidth="10" defaultColWidth="14.5" defaultRowHeight="15" customHeight="1" x14ac:dyDescent="0.2"/>
  <cols>
    <col min="1" max="1" width="5.5" customWidth="1"/>
    <col min="2" max="2" width="27" customWidth="1"/>
    <col min="3" max="3" width="16.1640625" customWidth="1"/>
    <col min="4" max="4" width="26" customWidth="1"/>
    <col min="5" max="5" width="12.5" customWidth="1"/>
    <col min="7" max="7" width="20" customWidth="1"/>
    <col min="8" max="8" width="22.1640625" customWidth="1"/>
    <col min="9" max="9" width="17.5" customWidth="1"/>
    <col min="10" max="10" width="3.5" customWidth="1"/>
    <col min="12" max="12" width="18.83203125" customWidth="1"/>
    <col min="13" max="13" width="23" customWidth="1"/>
    <col min="15" max="15" width="21.83203125" hidden="1" customWidth="1"/>
    <col min="16" max="16" width="39.33203125" hidden="1" customWidth="1"/>
    <col min="17" max="17" width="14.5" hidden="1"/>
  </cols>
  <sheetData>
    <row r="1" spans="1:26" ht="18" x14ac:dyDescent="0.2">
      <c r="A1" s="29" t="s">
        <v>21</v>
      </c>
      <c r="B1" s="29"/>
      <c r="C1" s="30"/>
      <c r="D1" s="30"/>
      <c r="E1" s="30"/>
      <c r="F1" s="30"/>
      <c r="G1" s="30"/>
      <c r="H1" s="31"/>
      <c r="I1" s="30"/>
      <c r="J1" s="30"/>
      <c r="K1" s="30"/>
      <c r="L1" s="30"/>
      <c r="M1" s="30"/>
      <c r="N1" s="30"/>
      <c r="O1" s="30"/>
      <c r="P1" s="30"/>
      <c r="Q1" s="30"/>
      <c r="R1" s="30"/>
      <c r="S1" s="30"/>
      <c r="T1" s="30"/>
      <c r="U1" s="30"/>
      <c r="V1" s="30"/>
      <c r="W1" s="30"/>
      <c r="X1" s="30"/>
      <c r="Y1" s="30"/>
      <c r="Z1" s="30"/>
    </row>
    <row r="2" spans="1:26" ht="31.5" customHeight="1" x14ac:dyDescent="0.2">
      <c r="A2" s="29"/>
      <c r="B2" s="361"/>
      <c r="C2" s="343"/>
      <c r="D2" s="30"/>
      <c r="E2" s="30"/>
      <c r="F2" s="30"/>
      <c r="G2" s="30"/>
      <c r="H2" s="31"/>
      <c r="I2" s="30"/>
      <c r="J2" s="30"/>
      <c r="K2" s="30"/>
      <c r="L2" s="30"/>
      <c r="M2" s="30"/>
      <c r="N2" s="30"/>
      <c r="O2" s="30"/>
      <c r="P2" s="30"/>
      <c r="Q2" s="30"/>
      <c r="R2" s="30"/>
      <c r="S2" s="30"/>
      <c r="T2" s="30"/>
      <c r="U2" s="30"/>
      <c r="V2" s="30"/>
      <c r="W2" s="30"/>
      <c r="X2" s="30"/>
      <c r="Y2" s="30"/>
      <c r="Z2" s="30"/>
    </row>
    <row r="3" spans="1:26" ht="18" x14ac:dyDescent="0.2">
      <c r="A3" s="29"/>
      <c r="B3" s="29"/>
      <c r="C3" s="30"/>
      <c r="D3" s="30"/>
      <c r="E3" s="30"/>
      <c r="F3" s="30"/>
      <c r="G3" s="30"/>
      <c r="H3" s="31"/>
      <c r="I3" s="30"/>
      <c r="J3" s="30"/>
      <c r="K3" s="30"/>
      <c r="L3" s="30"/>
      <c r="M3" s="30"/>
      <c r="N3" s="30"/>
      <c r="O3" s="30"/>
      <c r="P3" s="30"/>
      <c r="Q3" s="30"/>
      <c r="R3" s="30"/>
      <c r="S3" s="30"/>
      <c r="T3" s="30"/>
      <c r="U3" s="30"/>
      <c r="V3" s="30"/>
      <c r="W3" s="30"/>
      <c r="X3" s="30"/>
      <c r="Y3" s="30"/>
      <c r="Z3" s="30"/>
    </row>
    <row r="4" spans="1:26" ht="22" x14ac:dyDescent="0.25">
      <c r="A4" s="29"/>
      <c r="B4" s="32" t="s">
        <v>22</v>
      </c>
      <c r="C4" s="30"/>
      <c r="D4" s="30"/>
      <c r="E4" s="30"/>
      <c r="F4" s="30"/>
      <c r="G4" s="30"/>
      <c r="H4" s="31"/>
      <c r="I4" s="30"/>
      <c r="J4" s="30"/>
      <c r="K4" s="30"/>
      <c r="L4" s="30"/>
      <c r="M4" s="30"/>
      <c r="N4" s="30"/>
      <c r="O4" s="30"/>
      <c r="P4" s="30"/>
      <c r="Q4" s="30"/>
      <c r="R4" s="30"/>
      <c r="S4" s="30"/>
      <c r="T4" s="30"/>
      <c r="U4" s="30"/>
      <c r="V4" s="30"/>
      <c r="W4" s="30"/>
      <c r="X4" s="30"/>
      <c r="Y4" s="30"/>
      <c r="Z4" s="30"/>
    </row>
    <row r="5" spans="1:26" x14ac:dyDescent="0.2">
      <c r="A5" s="30"/>
      <c r="B5" s="33" t="s">
        <v>23</v>
      </c>
      <c r="C5" s="34"/>
      <c r="D5" s="34"/>
      <c r="E5" s="34"/>
      <c r="F5" s="34"/>
      <c r="G5" s="34"/>
      <c r="H5" s="34"/>
      <c r="I5" s="34"/>
      <c r="J5" s="34"/>
      <c r="K5" s="34"/>
      <c r="L5" s="34"/>
      <c r="M5" s="34"/>
      <c r="N5" s="34"/>
      <c r="O5" s="30"/>
      <c r="P5" s="30"/>
      <c r="Q5" s="30"/>
      <c r="R5" s="30"/>
      <c r="S5" s="30"/>
      <c r="T5" s="30"/>
      <c r="U5" s="30"/>
      <c r="V5" s="30"/>
      <c r="W5" s="30"/>
      <c r="X5" s="30"/>
      <c r="Y5" s="30"/>
      <c r="Z5" s="30"/>
    </row>
    <row r="6" spans="1:26" x14ac:dyDescent="0.2">
      <c r="A6" s="30"/>
      <c r="B6" s="30"/>
      <c r="C6" s="30"/>
      <c r="D6" s="30"/>
      <c r="E6" s="30"/>
      <c r="F6" s="30"/>
      <c r="G6" s="30"/>
      <c r="H6" s="31"/>
      <c r="I6" s="30"/>
      <c r="J6" s="30"/>
      <c r="K6" s="30"/>
      <c r="L6" s="30"/>
      <c r="M6" s="30"/>
      <c r="N6" s="30"/>
      <c r="O6" s="30"/>
      <c r="P6" s="30"/>
      <c r="Q6" s="30"/>
      <c r="R6" s="30"/>
      <c r="S6" s="30"/>
      <c r="T6" s="30"/>
      <c r="U6" s="30"/>
      <c r="V6" s="30"/>
      <c r="W6" s="30"/>
      <c r="X6" s="30"/>
      <c r="Y6" s="30"/>
      <c r="Z6" s="30"/>
    </row>
    <row r="7" spans="1:26" ht="22.5" customHeight="1" x14ac:dyDescent="0.2">
      <c r="A7" s="35"/>
      <c r="B7" s="362" t="s">
        <v>24</v>
      </c>
      <c r="C7" s="343"/>
      <c r="D7" s="343"/>
      <c r="E7" s="343"/>
      <c r="F7" s="343"/>
      <c r="G7" s="343"/>
      <c r="H7" s="363"/>
      <c r="I7" s="30"/>
      <c r="J7" s="30"/>
      <c r="K7" s="30"/>
      <c r="L7" s="30"/>
      <c r="M7" s="30"/>
      <c r="N7" s="30"/>
      <c r="O7" s="30"/>
      <c r="P7" s="30"/>
      <c r="Q7" s="30"/>
      <c r="R7" s="30"/>
      <c r="S7" s="30"/>
      <c r="T7" s="30"/>
      <c r="U7" s="30"/>
      <c r="V7" s="30"/>
      <c r="W7" s="30"/>
      <c r="X7" s="30"/>
      <c r="Y7" s="30"/>
      <c r="Z7" s="30"/>
    </row>
    <row r="8" spans="1:26" x14ac:dyDescent="0.2">
      <c r="A8" s="30"/>
      <c r="B8" s="36" t="s">
        <v>25</v>
      </c>
      <c r="C8" s="37">
        <v>255</v>
      </c>
      <c r="D8" s="36" t="s">
        <v>26</v>
      </c>
      <c r="E8" s="30"/>
      <c r="F8" s="36" t="s">
        <v>27</v>
      </c>
      <c r="G8" s="30"/>
      <c r="H8" s="38">
        <v>0.32</v>
      </c>
      <c r="I8" s="30"/>
      <c r="J8" s="30"/>
      <c r="K8" s="30"/>
      <c r="L8" s="30"/>
      <c r="M8" s="30"/>
      <c r="N8" s="30"/>
      <c r="O8" s="30"/>
      <c r="P8" s="30"/>
      <c r="Q8" s="30"/>
      <c r="R8" s="30"/>
      <c r="S8" s="30"/>
      <c r="T8" s="30"/>
      <c r="U8" s="30"/>
      <c r="V8" s="30"/>
      <c r="W8" s="30"/>
      <c r="X8" s="30"/>
      <c r="Y8" s="30"/>
      <c r="Z8" s="30"/>
    </row>
    <row r="9" spans="1:26" x14ac:dyDescent="0.2">
      <c r="A9" s="30"/>
      <c r="B9" s="36" t="s">
        <v>28</v>
      </c>
      <c r="C9" s="39">
        <v>40</v>
      </c>
      <c r="D9" s="36" t="s">
        <v>29</v>
      </c>
      <c r="E9" s="30"/>
      <c r="F9" s="30"/>
      <c r="G9" s="30"/>
      <c r="H9" s="31"/>
      <c r="I9" s="30"/>
      <c r="J9" s="30"/>
      <c r="K9" s="30"/>
      <c r="L9" s="30"/>
      <c r="M9" s="30"/>
      <c r="N9" s="30"/>
      <c r="O9" s="30"/>
      <c r="P9" s="30"/>
      <c r="Q9" s="30"/>
      <c r="R9" s="30"/>
      <c r="S9" s="30"/>
      <c r="T9" s="30"/>
      <c r="U9" s="30"/>
      <c r="V9" s="30"/>
      <c r="W9" s="30"/>
      <c r="X9" s="30"/>
      <c r="Y9" s="30"/>
      <c r="Z9" s="30"/>
    </row>
    <row r="10" spans="1:26" x14ac:dyDescent="0.2">
      <c r="A10" s="30"/>
      <c r="B10" s="36" t="s">
        <v>28</v>
      </c>
      <c r="C10" s="36">
        <f>(C8/5)*C9</f>
        <v>2040</v>
      </c>
      <c r="D10" s="36" t="s">
        <v>30</v>
      </c>
      <c r="E10" s="30"/>
      <c r="F10" s="30"/>
      <c r="G10" s="30"/>
      <c r="H10" s="31"/>
      <c r="I10" s="30"/>
      <c r="J10" s="30"/>
      <c r="K10" s="30"/>
      <c r="L10" s="30"/>
      <c r="M10" s="30"/>
      <c r="N10" s="30"/>
      <c r="O10" s="30"/>
      <c r="P10" s="30"/>
      <c r="Q10" s="30"/>
      <c r="R10" s="30"/>
      <c r="S10" s="30"/>
      <c r="T10" s="30"/>
      <c r="U10" s="30"/>
      <c r="V10" s="30"/>
      <c r="W10" s="30"/>
      <c r="X10" s="30"/>
      <c r="Y10" s="30"/>
      <c r="Z10" s="30"/>
    </row>
    <row r="11" spans="1:26" x14ac:dyDescent="0.2">
      <c r="A11" s="30"/>
      <c r="B11" s="36" t="s">
        <v>28</v>
      </c>
      <c r="C11" s="39">
        <v>200</v>
      </c>
      <c r="D11" s="36" t="s">
        <v>31</v>
      </c>
      <c r="E11" s="30"/>
      <c r="F11" s="30"/>
      <c r="G11" s="30"/>
      <c r="H11" s="31"/>
      <c r="I11" s="30"/>
      <c r="J11" s="30"/>
      <c r="K11" s="30"/>
      <c r="L11" s="30"/>
      <c r="M11" s="30"/>
      <c r="N11" s="30"/>
      <c r="O11" s="30"/>
      <c r="P11" s="30"/>
      <c r="Q11" s="30"/>
      <c r="R11" s="30"/>
      <c r="S11" s="30"/>
      <c r="T11" s="30"/>
      <c r="U11" s="30"/>
      <c r="V11" s="30"/>
      <c r="W11" s="30"/>
      <c r="X11" s="30"/>
      <c r="Y11" s="30"/>
      <c r="Z11" s="30"/>
    </row>
    <row r="12" spans="1:26" x14ac:dyDescent="0.2">
      <c r="A12" s="30"/>
      <c r="B12" s="30"/>
      <c r="C12" s="36">
        <f>C10-C11</f>
        <v>1840</v>
      </c>
      <c r="D12" s="36" t="s">
        <v>32</v>
      </c>
      <c r="E12" s="30"/>
      <c r="F12" s="30"/>
      <c r="G12" s="30"/>
      <c r="H12" s="31"/>
      <c r="I12" s="30"/>
      <c r="J12" s="30"/>
      <c r="K12" s="30"/>
      <c r="L12" s="30"/>
      <c r="M12" s="30"/>
      <c r="N12" s="30"/>
      <c r="O12" s="30"/>
      <c r="P12" s="30"/>
      <c r="Q12" s="30"/>
      <c r="R12" s="31"/>
      <c r="S12" s="31"/>
      <c r="T12" s="31"/>
      <c r="U12" s="31"/>
      <c r="V12" s="31"/>
      <c r="W12" s="31"/>
      <c r="X12" s="31"/>
      <c r="Y12" s="31"/>
      <c r="Z12" s="31"/>
    </row>
    <row r="13" spans="1:26" x14ac:dyDescent="0.2">
      <c r="A13" s="30"/>
      <c r="B13" s="30"/>
      <c r="C13" s="30"/>
      <c r="D13" s="30"/>
      <c r="E13" s="30"/>
      <c r="F13" s="30"/>
      <c r="G13" s="30"/>
      <c r="H13" s="31"/>
      <c r="I13" s="30"/>
      <c r="J13" s="30"/>
      <c r="K13" s="30"/>
      <c r="L13" s="30"/>
      <c r="M13" s="30"/>
      <c r="N13" s="30"/>
      <c r="O13" s="30"/>
      <c r="P13" s="30"/>
      <c r="Q13" s="30"/>
      <c r="R13" s="31"/>
      <c r="S13" s="31"/>
      <c r="T13" s="31"/>
      <c r="U13" s="31"/>
      <c r="V13" s="31"/>
      <c r="W13" s="31"/>
      <c r="X13" s="31"/>
      <c r="Y13" s="31"/>
      <c r="Z13" s="31"/>
    </row>
    <row r="14" spans="1:26" ht="18" customHeight="1" x14ac:dyDescent="0.2">
      <c r="A14" s="35"/>
      <c r="B14" s="40" t="s">
        <v>33</v>
      </c>
      <c r="C14" s="41"/>
      <c r="D14" s="42"/>
      <c r="E14" s="43"/>
      <c r="F14" s="43"/>
      <c r="G14" s="43"/>
      <c r="H14" s="44"/>
      <c r="I14" s="43"/>
      <c r="J14" s="45"/>
      <c r="K14" s="45"/>
      <c r="L14" s="45"/>
      <c r="M14" s="45"/>
      <c r="N14" s="46"/>
      <c r="O14" s="30"/>
      <c r="P14" s="30"/>
      <c r="Q14" s="30"/>
      <c r="R14" s="31"/>
      <c r="S14" s="31"/>
      <c r="T14" s="31"/>
      <c r="U14" s="31"/>
      <c r="V14" s="31"/>
      <c r="W14" s="31"/>
      <c r="X14" s="31"/>
      <c r="Y14" s="31"/>
      <c r="Z14" s="31"/>
    </row>
    <row r="15" spans="1:26" ht="19.5" customHeight="1" x14ac:dyDescent="0.2">
      <c r="A15" s="35"/>
      <c r="B15" s="47" t="s">
        <v>34</v>
      </c>
      <c r="C15" s="48" t="s">
        <v>35</v>
      </c>
      <c r="D15" s="49" t="s">
        <v>36</v>
      </c>
      <c r="E15" s="50" t="s">
        <v>37</v>
      </c>
      <c r="F15" s="49" t="s">
        <v>38</v>
      </c>
      <c r="G15" s="51" t="s">
        <v>39</v>
      </c>
      <c r="H15" s="52" t="s">
        <v>40</v>
      </c>
      <c r="I15" s="51" t="s">
        <v>41</v>
      </c>
      <c r="J15" s="53"/>
      <c r="K15" s="54" t="s">
        <v>42</v>
      </c>
      <c r="L15" s="54" t="s">
        <v>43</v>
      </c>
      <c r="M15" s="50" t="s">
        <v>44</v>
      </c>
      <c r="N15" s="55" t="s">
        <v>45</v>
      </c>
      <c r="O15" s="30" t="s">
        <v>46</v>
      </c>
      <c r="P15" s="30" t="s">
        <v>47</v>
      </c>
      <c r="Q15" s="30" t="s">
        <v>48</v>
      </c>
      <c r="R15" s="31"/>
      <c r="S15" s="31"/>
      <c r="T15" s="31"/>
      <c r="U15" s="31"/>
      <c r="V15" s="31"/>
      <c r="W15" s="31"/>
      <c r="X15" s="31"/>
      <c r="Y15" s="31"/>
      <c r="Z15" s="31"/>
    </row>
    <row r="16" spans="1:26" x14ac:dyDescent="0.2">
      <c r="A16" s="56"/>
      <c r="B16" s="57" t="s">
        <v>49</v>
      </c>
      <c r="C16" s="58">
        <v>1</v>
      </c>
      <c r="D16" s="59">
        <v>28</v>
      </c>
      <c r="E16" s="60">
        <f t="shared" ref="E16:E39" si="0">D16/$C$9</f>
        <v>0.7</v>
      </c>
      <c r="F16" s="61">
        <v>5000</v>
      </c>
      <c r="G16" s="62">
        <f t="shared" ref="G16:G39" si="1">IF(F16&gt;0,E16*F16,)</f>
        <v>3500</v>
      </c>
      <c r="H16" s="63">
        <f t="shared" ref="H16:H39" si="2">IF(F16&gt;0, $H$8*G16,)</f>
        <v>1120</v>
      </c>
      <c r="I16" s="62">
        <f t="shared" ref="I16:I39" si="3">IF(F16&gt;0,G16+H16,)</f>
        <v>4620</v>
      </c>
      <c r="J16" s="64"/>
      <c r="K16" s="65">
        <v>125</v>
      </c>
      <c r="L16" s="66">
        <v>0.8</v>
      </c>
      <c r="M16" s="67">
        <f t="shared" ref="M16:M39" si="4">L16*E16*$C$12</f>
        <v>1030.3999999999999</v>
      </c>
      <c r="N16" s="68">
        <f t="shared" ref="N16:N39" si="5">M16*K16</f>
        <v>128799.99999999999</v>
      </c>
      <c r="O16" s="30">
        <f t="shared" ref="O16:O39" si="6">(D16/40)*($C$10-$C$11)</f>
        <v>1288</v>
      </c>
      <c r="P16" s="30">
        <f t="shared" ref="P16:P39" si="7">IFERROR((($C$12*E16)/12)*(13-C16),0)</f>
        <v>1288</v>
      </c>
      <c r="Q16" s="30">
        <f t="shared" ref="Q16:Q39" si="8">IFERROR((($C$10*E16)/12)*(13-C16),0)</f>
        <v>1428</v>
      </c>
      <c r="R16" s="31"/>
      <c r="S16" s="31"/>
      <c r="T16" s="31"/>
      <c r="U16" s="31"/>
      <c r="V16" s="31"/>
      <c r="W16" s="31"/>
      <c r="X16" s="31"/>
      <c r="Y16" s="31"/>
      <c r="Z16" s="31"/>
    </row>
    <row r="17" spans="1:26" x14ac:dyDescent="0.2">
      <c r="A17" s="56"/>
      <c r="B17" s="69" t="s">
        <v>50</v>
      </c>
      <c r="C17" s="70">
        <v>1</v>
      </c>
      <c r="D17" s="71">
        <v>8</v>
      </c>
      <c r="E17" s="72">
        <f t="shared" si="0"/>
        <v>0.2</v>
      </c>
      <c r="F17" s="61">
        <v>5000</v>
      </c>
      <c r="G17" s="73">
        <f t="shared" si="1"/>
        <v>1000</v>
      </c>
      <c r="H17" s="74">
        <f t="shared" si="2"/>
        <v>320</v>
      </c>
      <c r="I17" s="73">
        <f t="shared" si="3"/>
        <v>1320</v>
      </c>
      <c r="J17" s="64"/>
      <c r="K17" s="75">
        <v>125</v>
      </c>
      <c r="L17" s="76">
        <v>1</v>
      </c>
      <c r="M17" s="67">
        <f t="shared" si="4"/>
        <v>368</v>
      </c>
      <c r="N17" s="68">
        <f t="shared" si="5"/>
        <v>46000</v>
      </c>
      <c r="O17" s="30">
        <f t="shared" si="6"/>
        <v>368</v>
      </c>
      <c r="P17" s="30">
        <f t="shared" si="7"/>
        <v>368</v>
      </c>
      <c r="Q17" s="30">
        <f t="shared" si="8"/>
        <v>408</v>
      </c>
      <c r="R17" s="31"/>
      <c r="S17" s="31"/>
      <c r="T17" s="31"/>
      <c r="U17" s="31"/>
      <c r="V17" s="31"/>
      <c r="W17" s="31"/>
      <c r="X17" s="31"/>
      <c r="Y17" s="31"/>
      <c r="Z17" s="31"/>
    </row>
    <row r="18" spans="1:26" x14ac:dyDescent="0.2">
      <c r="A18" s="56"/>
      <c r="B18" s="69" t="s">
        <v>51</v>
      </c>
      <c r="C18" s="70">
        <v>1</v>
      </c>
      <c r="D18" s="71">
        <v>40</v>
      </c>
      <c r="E18" s="60">
        <f t="shared" si="0"/>
        <v>1</v>
      </c>
      <c r="F18" s="61">
        <v>6000</v>
      </c>
      <c r="G18" s="62">
        <f t="shared" si="1"/>
        <v>6000</v>
      </c>
      <c r="H18" s="63">
        <f t="shared" si="2"/>
        <v>1920</v>
      </c>
      <c r="I18" s="62">
        <f t="shared" si="3"/>
        <v>7920</v>
      </c>
      <c r="J18" s="64"/>
      <c r="K18" s="75">
        <v>140</v>
      </c>
      <c r="L18" s="76">
        <v>0.8</v>
      </c>
      <c r="M18" s="67">
        <f t="shared" si="4"/>
        <v>1472</v>
      </c>
      <c r="N18" s="68">
        <f t="shared" si="5"/>
        <v>206080</v>
      </c>
      <c r="O18" s="30">
        <f t="shared" si="6"/>
        <v>1840</v>
      </c>
      <c r="P18" s="30">
        <f t="shared" si="7"/>
        <v>1840</v>
      </c>
      <c r="Q18" s="30">
        <f t="shared" si="8"/>
        <v>2040</v>
      </c>
      <c r="R18" s="31"/>
      <c r="S18" s="31"/>
      <c r="T18" s="31"/>
      <c r="U18" s="31"/>
      <c r="V18" s="31"/>
      <c r="W18" s="31"/>
      <c r="X18" s="31"/>
      <c r="Y18" s="31"/>
      <c r="Z18" s="31"/>
    </row>
    <row r="19" spans="1:26" x14ac:dyDescent="0.2">
      <c r="A19" s="56"/>
      <c r="B19" s="69" t="s">
        <v>52</v>
      </c>
      <c r="C19" s="70">
        <v>1</v>
      </c>
      <c r="D19" s="71">
        <v>40</v>
      </c>
      <c r="E19" s="72">
        <f t="shared" si="0"/>
        <v>1</v>
      </c>
      <c r="F19" s="61">
        <v>4000</v>
      </c>
      <c r="G19" s="73">
        <f t="shared" si="1"/>
        <v>4000</v>
      </c>
      <c r="H19" s="74">
        <f t="shared" si="2"/>
        <v>1280</v>
      </c>
      <c r="I19" s="73">
        <f t="shared" si="3"/>
        <v>5280</v>
      </c>
      <c r="J19" s="64"/>
      <c r="K19" s="75">
        <v>125</v>
      </c>
      <c r="L19" s="76">
        <v>0.8</v>
      </c>
      <c r="M19" s="67">
        <f t="shared" si="4"/>
        <v>1472</v>
      </c>
      <c r="N19" s="68">
        <f t="shared" si="5"/>
        <v>184000</v>
      </c>
      <c r="O19" s="30">
        <f t="shared" si="6"/>
        <v>1840</v>
      </c>
      <c r="P19" s="30">
        <f t="shared" si="7"/>
        <v>1840</v>
      </c>
      <c r="Q19" s="30">
        <f t="shared" si="8"/>
        <v>2040</v>
      </c>
      <c r="R19" s="31"/>
      <c r="S19" s="31"/>
      <c r="T19" s="31"/>
      <c r="U19" s="31"/>
      <c r="V19" s="31"/>
      <c r="W19" s="31"/>
      <c r="X19" s="31"/>
      <c r="Y19" s="31"/>
      <c r="Z19" s="31"/>
    </row>
    <row r="20" spans="1:26" x14ac:dyDescent="0.2">
      <c r="A20" s="56"/>
      <c r="B20" s="69" t="s">
        <v>53</v>
      </c>
      <c r="C20" s="70">
        <v>1</v>
      </c>
      <c r="D20" s="71">
        <v>40</v>
      </c>
      <c r="E20" s="60">
        <f t="shared" si="0"/>
        <v>1</v>
      </c>
      <c r="F20" s="61">
        <v>4000</v>
      </c>
      <c r="G20" s="62">
        <f t="shared" si="1"/>
        <v>4000</v>
      </c>
      <c r="H20" s="63">
        <f t="shared" si="2"/>
        <v>1280</v>
      </c>
      <c r="I20" s="62">
        <f t="shared" si="3"/>
        <v>5280</v>
      </c>
      <c r="J20" s="64"/>
      <c r="K20" s="75">
        <v>85</v>
      </c>
      <c r="L20" s="76">
        <v>0.9</v>
      </c>
      <c r="M20" s="67">
        <f t="shared" si="4"/>
        <v>1656</v>
      </c>
      <c r="N20" s="68">
        <f t="shared" si="5"/>
        <v>140760</v>
      </c>
      <c r="O20" s="30">
        <f t="shared" si="6"/>
        <v>1840</v>
      </c>
      <c r="P20" s="30">
        <f t="shared" si="7"/>
        <v>1840</v>
      </c>
      <c r="Q20" s="30">
        <f t="shared" si="8"/>
        <v>2040</v>
      </c>
      <c r="R20" s="31"/>
      <c r="S20" s="31"/>
      <c r="T20" s="31"/>
      <c r="U20" s="31"/>
      <c r="V20" s="31"/>
      <c r="W20" s="31"/>
      <c r="X20" s="31"/>
      <c r="Y20" s="31"/>
      <c r="Z20" s="31"/>
    </row>
    <row r="21" spans="1:26" x14ac:dyDescent="0.2">
      <c r="A21" s="56"/>
      <c r="B21" s="69" t="s">
        <v>54</v>
      </c>
      <c r="C21" s="70">
        <v>1</v>
      </c>
      <c r="D21" s="71">
        <v>32</v>
      </c>
      <c r="E21" s="72">
        <f t="shared" si="0"/>
        <v>0.8</v>
      </c>
      <c r="F21" s="61">
        <v>4000</v>
      </c>
      <c r="G21" s="73">
        <f t="shared" si="1"/>
        <v>3200</v>
      </c>
      <c r="H21" s="74">
        <f t="shared" si="2"/>
        <v>1024</v>
      </c>
      <c r="I21" s="73">
        <f t="shared" si="3"/>
        <v>4224</v>
      </c>
      <c r="J21" s="64"/>
      <c r="K21" s="75">
        <v>85</v>
      </c>
      <c r="L21" s="76">
        <v>0.9</v>
      </c>
      <c r="M21" s="67">
        <f t="shared" si="4"/>
        <v>1324.8000000000002</v>
      </c>
      <c r="N21" s="68">
        <f t="shared" si="5"/>
        <v>112608.00000000001</v>
      </c>
      <c r="O21" s="30">
        <f t="shared" si="6"/>
        <v>1472</v>
      </c>
      <c r="P21" s="30">
        <f t="shared" si="7"/>
        <v>1472</v>
      </c>
      <c r="Q21" s="30">
        <f t="shared" si="8"/>
        <v>1632</v>
      </c>
      <c r="R21" s="31"/>
      <c r="S21" s="31"/>
      <c r="T21" s="31"/>
      <c r="U21" s="31"/>
      <c r="V21" s="31"/>
      <c r="W21" s="31"/>
      <c r="X21" s="31"/>
      <c r="Y21" s="31"/>
      <c r="Z21" s="31"/>
    </row>
    <row r="22" spans="1:26" x14ac:dyDescent="0.2">
      <c r="A22" s="56"/>
      <c r="B22" s="69" t="s">
        <v>55</v>
      </c>
      <c r="C22" s="70">
        <v>1</v>
      </c>
      <c r="D22" s="71">
        <v>28</v>
      </c>
      <c r="E22" s="60">
        <f t="shared" si="0"/>
        <v>0.7</v>
      </c>
      <c r="F22" s="61">
        <v>5000</v>
      </c>
      <c r="G22" s="62">
        <f t="shared" si="1"/>
        <v>3500</v>
      </c>
      <c r="H22" s="63">
        <f t="shared" si="2"/>
        <v>1120</v>
      </c>
      <c r="I22" s="62">
        <f t="shared" si="3"/>
        <v>4620</v>
      </c>
      <c r="J22" s="64"/>
      <c r="K22" s="75">
        <v>125</v>
      </c>
      <c r="L22" s="76">
        <v>0.8</v>
      </c>
      <c r="M22" s="67">
        <f t="shared" si="4"/>
        <v>1030.3999999999999</v>
      </c>
      <c r="N22" s="68">
        <f t="shared" si="5"/>
        <v>128799.99999999999</v>
      </c>
      <c r="O22" s="30">
        <f t="shared" si="6"/>
        <v>1288</v>
      </c>
      <c r="P22" s="30">
        <f t="shared" si="7"/>
        <v>1288</v>
      </c>
      <c r="Q22" s="30">
        <f t="shared" si="8"/>
        <v>1428</v>
      </c>
      <c r="R22" s="31"/>
      <c r="S22" s="31"/>
      <c r="T22" s="31"/>
      <c r="U22" s="31"/>
      <c r="V22" s="31"/>
      <c r="W22" s="31"/>
      <c r="X22" s="31"/>
      <c r="Y22" s="31"/>
      <c r="Z22" s="31"/>
    </row>
    <row r="23" spans="1:26" x14ac:dyDescent="0.2">
      <c r="A23" s="56"/>
      <c r="B23" s="69" t="s">
        <v>56</v>
      </c>
      <c r="C23" s="70" t="s">
        <v>57</v>
      </c>
      <c r="D23" s="71">
        <v>0</v>
      </c>
      <c r="E23" s="72">
        <f t="shared" si="0"/>
        <v>0</v>
      </c>
      <c r="F23" s="77"/>
      <c r="G23" s="73">
        <f t="shared" si="1"/>
        <v>0</v>
      </c>
      <c r="H23" s="74">
        <f t="shared" si="2"/>
        <v>0</v>
      </c>
      <c r="I23" s="78">
        <f t="shared" si="3"/>
        <v>0</v>
      </c>
      <c r="J23" s="64"/>
      <c r="K23" s="75"/>
      <c r="L23" s="76"/>
      <c r="M23" s="67">
        <f t="shared" si="4"/>
        <v>0</v>
      </c>
      <c r="N23" s="68">
        <f t="shared" si="5"/>
        <v>0</v>
      </c>
      <c r="O23" s="30">
        <f t="shared" si="6"/>
        <v>0</v>
      </c>
      <c r="P23" s="30">
        <f t="shared" si="7"/>
        <v>0</v>
      </c>
      <c r="Q23" s="30">
        <f t="shared" si="8"/>
        <v>0</v>
      </c>
      <c r="R23" s="31"/>
      <c r="S23" s="31"/>
      <c r="T23" s="31"/>
      <c r="U23" s="31"/>
      <c r="V23" s="31"/>
      <c r="W23" s="31"/>
      <c r="X23" s="31"/>
      <c r="Y23" s="31"/>
      <c r="Z23" s="31"/>
    </row>
    <row r="24" spans="1:26" x14ac:dyDescent="0.2">
      <c r="A24" s="56"/>
      <c r="B24" s="69" t="s">
        <v>58</v>
      </c>
      <c r="C24" s="70" t="s">
        <v>59</v>
      </c>
      <c r="D24" s="71">
        <v>0</v>
      </c>
      <c r="E24" s="60">
        <f t="shared" si="0"/>
        <v>0</v>
      </c>
      <c r="F24" s="77"/>
      <c r="G24" s="62">
        <f t="shared" si="1"/>
        <v>0</v>
      </c>
      <c r="H24" s="63">
        <f t="shared" si="2"/>
        <v>0</v>
      </c>
      <c r="I24" s="79">
        <f t="shared" si="3"/>
        <v>0</v>
      </c>
      <c r="J24" s="64"/>
      <c r="K24" s="75"/>
      <c r="L24" s="76"/>
      <c r="M24" s="67">
        <f t="shared" si="4"/>
        <v>0</v>
      </c>
      <c r="N24" s="68">
        <f t="shared" si="5"/>
        <v>0</v>
      </c>
      <c r="O24" s="30">
        <f t="shared" si="6"/>
        <v>0</v>
      </c>
      <c r="P24" s="30">
        <f t="shared" si="7"/>
        <v>0</v>
      </c>
      <c r="Q24" s="30">
        <f t="shared" si="8"/>
        <v>0</v>
      </c>
      <c r="R24" s="31"/>
      <c r="S24" s="31"/>
      <c r="T24" s="31"/>
      <c r="U24" s="31"/>
      <c r="V24" s="31"/>
      <c r="W24" s="31"/>
      <c r="X24" s="31"/>
      <c r="Y24" s="31"/>
      <c r="Z24" s="31"/>
    </row>
    <row r="25" spans="1:26" x14ac:dyDescent="0.2">
      <c r="A25" s="56"/>
      <c r="B25" s="69" t="s">
        <v>60</v>
      </c>
      <c r="C25" s="70" t="s">
        <v>59</v>
      </c>
      <c r="D25" s="71">
        <v>0</v>
      </c>
      <c r="E25" s="72">
        <f t="shared" si="0"/>
        <v>0</v>
      </c>
      <c r="F25" s="77"/>
      <c r="G25" s="73">
        <f t="shared" si="1"/>
        <v>0</v>
      </c>
      <c r="H25" s="74">
        <f t="shared" si="2"/>
        <v>0</v>
      </c>
      <c r="I25" s="78">
        <f t="shared" si="3"/>
        <v>0</v>
      </c>
      <c r="J25" s="64"/>
      <c r="K25" s="75"/>
      <c r="L25" s="76"/>
      <c r="M25" s="67">
        <f t="shared" si="4"/>
        <v>0</v>
      </c>
      <c r="N25" s="68">
        <f t="shared" si="5"/>
        <v>0</v>
      </c>
      <c r="O25" s="30">
        <f t="shared" si="6"/>
        <v>0</v>
      </c>
      <c r="P25" s="30">
        <f t="shared" si="7"/>
        <v>0</v>
      </c>
      <c r="Q25" s="30">
        <f t="shared" si="8"/>
        <v>0</v>
      </c>
      <c r="R25" s="236"/>
      <c r="S25" s="236"/>
      <c r="T25" s="236"/>
      <c r="U25" s="236"/>
      <c r="V25" s="236"/>
      <c r="W25" s="236"/>
      <c r="X25" s="236"/>
      <c r="Y25" s="236"/>
      <c r="Z25" s="236"/>
    </row>
    <row r="26" spans="1:26" x14ac:dyDescent="0.2">
      <c r="A26" s="56"/>
      <c r="B26" s="69" t="s">
        <v>61</v>
      </c>
      <c r="C26" s="70" t="s">
        <v>59</v>
      </c>
      <c r="D26" s="71">
        <v>0</v>
      </c>
      <c r="E26" s="60">
        <f t="shared" si="0"/>
        <v>0</v>
      </c>
      <c r="F26" s="77"/>
      <c r="G26" s="62">
        <f t="shared" si="1"/>
        <v>0</v>
      </c>
      <c r="H26" s="63">
        <f t="shared" si="2"/>
        <v>0</v>
      </c>
      <c r="I26" s="79">
        <f t="shared" si="3"/>
        <v>0</v>
      </c>
      <c r="J26" s="64"/>
      <c r="K26" s="75"/>
      <c r="L26" s="76"/>
      <c r="M26" s="67">
        <f t="shared" si="4"/>
        <v>0</v>
      </c>
      <c r="N26" s="68">
        <f t="shared" si="5"/>
        <v>0</v>
      </c>
      <c r="O26" s="30">
        <f t="shared" si="6"/>
        <v>0</v>
      </c>
      <c r="P26" s="30">
        <f t="shared" si="7"/>
        <v>0</v>
      </c>
      <c r="Q26" s="30">
        <f t="shared" si="8"/>
        <v>0</v>
      </c>
      <c r="R26" s="236"/>
      <c r="S26" s="236"/>
      <c r="T26" s="236"/>
      <c r="U26" s="236"/>
      <c r="V26" s="236"/>
      <c r="W26" s="236"/>
      <c r="X26" s="236"/>
      <c r="Y26" s="236"/>
      <c r="Z26" s="236"/>
    </row>
    <row r="27" spans="1:26" x14ac:dyDescent="0.2">
      <c r="A27" s="56"/>
      <c r="B27" s="69" t="s">
        <v>62</v>
      </c>
      <c r="C27" s="70" t="s">
        <v>59</v>
      </c>
      <c r="D27" s="71">
        <v>0</v>
      </c>
      <c r="E27" s="72">
        <f t="shared" si="0"/>
        <v>0</v>
      </c>
      <c r="F27" s="77"/>
      <c r="G27" s="73">
        <f t="shared" si="1"/>
        <v>0</v>
      </c>
      <c r="H27" s="74">
        <f t="shared" si="2"/>
        <v>0</v>
      </c>
      <c r="I27" s="78">
        <f t="shared" si="3"/>
        <v>0</v>
      </c>
      <c r="J27" s="64"/>
      <c r="K27" s="75"/>
      <c r="L27" s="76"/>
      <c r="M27" s="67">
        <f t="shared" si="4"/>
        <v>0</v>
      </c>
      <c r="N27" s="68">
        <f t="shared" si="5"/>
        <v>0</v>
      </c>
      <c r="O27" s="30">
        <f t="shared" si="6"/>
        <v>0</v>
      </c>
      <c r="P27" s="30">
        <f t="shared" si="7"/>
        <v>0</v>
      </c>
      <c r="Q27" s="30">
        <f t="shared" si="8"/>
        <v>0</v>
      </c>
      <c r="R27" s="236"/>
      <c r="S27" s="236"/>
      <c r="T27" s="236"/>
      <c r="U27" s="236"/>
      <c r="V27" s="236"/>
      <c r="W27" s="236"/>
      <c r="X27" s="236"/>
      <c r="Y27" s="236"/>
      <c r="Z27" s="236"/>
    </row>
    <row r="28" spans="1:26" x14ac:dyDescent="0.2">
      <c r="A28" s="56"/>
      <c r="B28" s="69" t="s">
        <v>63</v>
      </c>
      <c r="C28" s="70" t="s">
        <v>59</v>
      </c>
      <c r="D28" s="71">
        <v>0</v>
      </c>
      <c r="E28" s="60">
        <f t="shared" si="0"/>
        <v>0</v>
      </c>
      <c r="F28" s="77"/>
      <c r="G28" s="62">
        <f t="shared" si="1"/>
        <v>0</v>
      </c>
      <c r="H28" s="63">
        <f t="shared" si="2"/>
        <v>0</v>
      </c>
      <c r="I28" s="79">
        <f t="shared" si="3"/>
        <v>0</v>
      </c>
      <c r="J28" s="64"/>
      <c r="K28" s="75"/>
      <c r="L28" s="76"/>
      <c r="M28" s="67">
        <f t="shared" si="4"/>
        <v>0</v>
      </c>
      <c r="N28" s="68">
        <f t="shared" si="5"/>
        <v>0</v>
      </c>
      <c r="O28" s="30">
        <f t="shared" si="6"/>
        <v>0</v>
      </c>
      <c r="P28" s="30">
        <f t="shared" si="7"/>
        <v>0</v>
      </c>
      <c r="Q28" s="30">
        <f t="shared" si="8"/>
        <v>0</v>
      </c>
      <c r="R28" s="236"/>
      <c r="S28" s="236"/>
      <c r="T28" s="236"/>
      <c r="U28" s="236"/>
      <c r="V28" s="236"/>
      <c r="W28" s="236"/>
      <c r="X28" s="236"/>
      <c r="Y28" s="236"/>
      <c r="Z28" s="236"/>
    </row>
    <row r="29" spans="1:26" x14ac:dyDescent="0.2">
      <c r="A29" s="56"/>
      <c r="B29" s="69" t="s">
        <v>64</v>
      </c>
      <c r="C29" s="70" t="s">
        <v>59</v>
      </c>
      <c r="D29" s="71">
        <v>0</v>
      </c>
      <c r="E29" s="72">
        <f t="shared" si="0"/>
        <v>0</v>
      </c>
      <c r="F29" s="77"/>
      <c r="G29" s="73">
        <f t="shared" si="1"/>
        <v>0</v>
      </c>
      <c r="H29" s="74">
        <f t="shared" si="2"/>
        <v>0</v>
      </c>
      <c r="I29" s="78">
        <f t="shared" si="3"/>
        <v>0</v>
      </c>
      <c r="J29" s="64"/>
      <c r="K29" s="75"/>
      <c r="L29" s="76"/>
      <c r="M29" s="67">
        <f t="shared" si="4"/>
        <v>0</v>
      </c>
      <c r="N29" s="68">
        <f t="shared" si="5"/>
        <v>0</v>
      </c>
      <c r="O29" s="30">
        <f t="shared" si="6"/>
        <v>0</v>
      </c>
      <c r="P29" s="30">
        <f t="shared" si="7"/>
        <v>0</v>
      </c>
      <c r="Q29" s="30">
        <f t="shared" si="8"/>
        <v>0</v>
      </c>
      <c r="R29" s="236"/>
      <c r="S29" s="236"/>
      <c r="T29" s="236"/>
      <c r="U29" s="236"/>
      <c r="V29" s="236"/>
      <c r="W29" s="236"/>
      <c r="X29" s="236"/>
      <c r="Y29" s="236"/>
      <c r="Z29" s="236"/>
    </row>
    <row r="30" spans="1:26" x14ac:dyDescent="0.2">
      <c r="A30" s="56"/>
      <c r="B30" s="69" t="s">
        <v>65</v>
      </c>
      <c r="C30" s="70" t="s">
        <v>59</v>
      </c>
      <c r="D30" s="71">
        <v>0</v>
      </c>
      <c r="E30" s="60">
        <f t="shared" si="0"/>
        <v>0</v>
      </c>
      <c r="F30" s="77"/>
      <c r="G30" s="62">
        <f t="shared" si="1"/>
        <v>0</v>
      </c>
      <c r="H30" s="63">
        <f t="shared" si="2"/>
        <v>0</v>
      </c>
      <c r="I30" s="79">
        <f t="shared" si="3"/>
        <v>0</v>
      </c>
      <c r="J30" s="64"/>
      <c r="K30" s="75"/>
      <c r="L30" s="76"/>
      <c r="M30" s="67">
        <f t="shared" si="4"/>
        <v>0</v>
      </c>
      <c r="N30" s="68">
        <f t="shared" si="5"/>
        <v>0</v>
      </c>
      <c r="O30" s="30">
        <f t="shared" si="6"/>
        <v>0</v>
      </c>
      <c r="P30" s="30">
        <f t="shared" si="7"/>
        <v>0</v>
      </c>
      <c r="Q30" s="30">
        <f t="shared" si="8"/>
        <v>0</v>
      </c>
      <c r="R30" s="236"/>
      <c r="S30" s="236"/>
      <c r="T30" s="236"/>
      <c r="U30" s="236"/>
      <c r="V30" s="236"/>
      <c r="W30" s="236"/>
      <c r="X30" s="236"/>
      <c r="Y30" s="236"/>
      <c r="Z30" s="236"/>
    </row>
    <row r="31" spans="1:26" x14ac:dyDescent="0.2">
      <c r="A31" s="56"/>
      <c r="B31" s="69" t="s">
        <v>66</v>
      </c>
      <c r="C31" s="70" t="s">
        <v>59</v>
      </c>
      <c r="D31" s="71">
        <v>0</v>
      </c>
      <c r="E31" s="72">
        <f t="shared" si="0"/>
        <v>0</v>
      </c>
      <c r="F31" s="77"/>
      <c r="G31" s="73">
        <f t="shared" si="1"/>
        <v>0</v>
      </c>
      <c r="H31" s="74">
        <f t="shared" si="2"/>
        <v>0</v>
      </c>
      <c r="I31" s="78">
        <f t="shared" si="3"/>
        <v>0</v>
      </c>
      <c r="J31" s="64"/>
      <c r="K31" s="75"/>
      <c r="L31" s="76"/>
      <c r="M31" s="67">
        <f t="shared" si="4"/>
        <v>0</v>
      </c>
      <c r="N31" s="68">
        <f t="shared" si="5"/>
        <v>0</v>
      </c>
      <c r="O31" s="30">
        <f t="shared" si="6"/>
        <v>0</v>
      </c>
      <c r="P31" s="30">
        <f t="shared" si="7"/>
        <v>0</v>
      </c>
      <c r="Q31" s="30">
        <f t="shared" si="8"/>
        <v>0</v>
      </c>
      <c r="R31" s="236"/>
      <c r="S31" s="236"/>
      <c r="T31" s="236"/>
      <c r="U31" s="236"/>
      <c r="V31" s="236"/>
      <c r="W31" s="236"/>
      <c r="X31" s="236"/>
      <c r="Y31" s="236"/>
      <c r="Z31" s="236"/>
    </row>
    <row r="32" spans="1:26" x14ac:dyDescent="0.2">
      <c r="A32" s="56"/>
      <c r="B32" s="69" t="s">
        <v>67</v>
      </c>
      <c r="C32" s="70" t="s">
        <v>59</v>
      </c>
      <c r="D32" s="71">
        <v>0</v>
      </c>
      <c r="E32" s="60">
        <f t="shared" si="0"/>
        <v>0</v>
      </c>
      <c r="F32" s="77"/>
      <c r="G32" s="62">
        <f t="shared" si="1"/>
        <v>0</v>
      </c>
      <c r="H32" s="63">
        <f t="shared" si="2"/>
        <v>0</v>
      </c>
      <c r="I32" s="79">
        <f t="shared" si="3"/>
        <v>0</v>
      </c>
      <c r="J32" s="64"/>
      <c r="K32" s="75"/>
      <c r="L32" s="76"/>
      <c r="M32" s="67">
        <f t="shared" si="4"/>
        <v>0</v>
      </c>
      <c r="N32" s="68">
        <f t="shared" si="5"/>
        <v>0</v>
      </c>
      <c r="O32" s="30">
        <f t="shared" si="6"/>
        <v>0</v>
      </c>
      <c r="P32" s="30">
        <f t="shared" si="7"/>
        <v>0</v>
      </c>
      <c r="Q32" s="30">
        <f t="shared" si="8"/>
        <v>0</v>
      </c>
      <c r="R32" s="236"/>
      <c r="S32" s="236"/>
      <c r="T32" s="236"/>
      <c r="U32" s="236"/>
      <c r="V32" s="236"/>
      <c r="W32" s="236"/>
      <c r="X32" s="236"/>
      <c r="Y32" s="236"/>
      <c r="Z32" s="236"/>
    </row>
    <row r="33" spans="1:26" x14ac:dyDescent="0.2">
      <c r="A33" s="56"/>
      <c r="B33" s="69" t="s">
        <v>68</v>
      </c>
      <c r="C33" s="70" t="s">
        <v>59</v>
      </c>
      <c r="D33" s="71">
        <v>0</v>
      </c>
      <c r="E33" s="72">
        <f t="shared" si="0"/>
        <v>0</v>
      </c>
      <c r="F33" s="77"/>
      <c r="G33" s="73">
        <f t="shared" si="1"/>
        <v>0</v>
      </c>
      <c r="H33" s="74">
        <f t="shared" si="2"/>
        <v>0</v>
      </c>
      <c r="I33" s="78">
        <f t="shared" si="3"/>
        <v>0</v>
      </c>
      <c r="J33" s="64"/>
      <c r="K33" s="75"/>
      <c r="L33" s="76"/>
      <c r="M33" s="67">
        <f t="shared" si="4"/>
        <v>0</v>
      </c>
      <c r="N33" s="68">
        <f t="shared" si="5"/>
        <v>0</v>
      </c>
      <c r="O33" s="30">
        <f t="shared" si="6"/>
        <v>0</v>
      </c>
      <c r="P33" s="30">
        <f t="shared" si="7"/>
        <v>0</v>
      </c>
      <c r="Q33" s="30">
        <f t="shared" si="8"/>
        <v>0</v>
      </c>
      <c r="R33" s="236"/>
      <c r="S33" s="236"/>
      <c r="T33" s="236"/>
      <c r="U33" s="236"/>
      <c r="V33" s="236"/>
      <c r="W33" s="236"/>
      <c r="X33" s="236"/>
      <c r="Y33" s="236"/>
      <c r="Z33" s="236"/>
    </row>
    <row r="34" spans="1:26" x14ac:dyDescent="0.2">
      <c r="A34" s="56"/>
      <c r="B34" s="69" t="s">
        <v>69</v>
      </c>
      <c r="C34" s="70" t="s">
        <v>59</v>
      </c>
      <c r="D34" s="71">
        <v>0</v>
      </c>
      <c r="E34" s="60">
        <f t="shared" si="0"/>
        <v>0</v>
      </c>
      <c r="F34" s="77"/>
      <c r="G34" s="62">
        <f t="shared" si="1"/>
        <v>0</v>
      </c>
      <c r="H34" s="63">
        <f t="shared" si="2"/>
        <v>0</v>
      </c>
      <c r="I34" s="79">
        <f t="shared" si="3"/>
        <v>0</v>
      </c>
      <c r="J34" s="64"/>
      <c r="K34" s="75"/>
      <c r="L34" s="76"/>
      <c r="M34" s="67">
        <f t="shared" si="4"/>
        <v>0</v>
      </c>
      <c r="N34" s="68">
        <f t="shared" si="5"/>
        <v>0</v>
      </c>
      <c r="O34" s="30">
        <f t="shared" si="6"/>
        <v>0</v>
      </c>
      <c r="P34" s="30">
        <f t="shared" si="7"/>
        <v>0</v>
      </c>
      <c r="Q34" s="30">
        <f t="shared" si="8"/>
        <v>0</v>
      </c>
      <c r="R34" s="30"/>
      <c r="S34" s="30"/>
      <c r="T34" s="30"/>
      <c r="U34" s="30"/>
      <c r="V34" s="30"/>
      <c r="W34" s="30"/>
      <c r="X34" s="30"/>
      <c r="Y34" s="30"/>
      <c r="Z34" s="30"/>
    </row>
    <row r="35" spans="1:26" x14ac:dyDescent="0.2">
      <c r="A35" s="56"/>
      <c r="B35" s="69" t="s">
        <v>70</v>
      </c>
      <c r="C35" s="70" t="s">
        <v>59</v>
      </c>
      <c r="D35" s="71">
        <v>0</v>
      </c>
      <c r="E35" s="72">
        <f t="shared" si="0"/>
        <v>0</v>
      </c>
      <c r="F35" s="77"/>
      <c r="G35" s="73">
        <f t="shared" si="1"/>
        <v>0</v>
      </c>
      <c r="H35" s="74">
        <f t="shared" si="2"/>
        <v>0</v>
      </c>
      <c r="I35" s="78">
        <f t="shared" si="3"/>
        <v>0</v>
      </c>
      <c r="J35" s="64"/>
      <c r="K35" s="75"/>
      <c r="L35" s="76"/>
      <c r="M35" s="67">
        <f t="shared" si="4"/>
        <v>0</v>
      </c>
      <c r="N35" s="68">
        <f t="shared" si="5"/>
        <v>0</v>
      </c>
      <c r="O35" s="30">
        <f t="shared" si="6"/>
        <v>0</v>
      </c>
      <c r="P35" s="30">
        <f t="shared" si="7"/>
        <v>0</v>
      </c>
      <c r="Q35" s="30">
        <f t="shared" si="8"/>
        <v>0</v>
      </c>
      <c r="R35" s="30"/>
      <c r="S35" s="30"/>
      <c r="T35" s="30"/>
      <c r="U35" s="30"/>
      <c r="V35" s="30"/>
      <c r="W35" s="30"/>
      <c r="X35" s="30"/>
      <c r="Y35" s="30"/>
      <c r="Z35" s="30"/>
    </row>
    <row r="36" spans="1:26" x14ac:dyDescent="0.2">
      <c r="A36" s="80"/>
      <c r="B36" s="81" t="s">
        <v>71</v>
      </c>
      <c r="C36" s="70">
        <v>4</v>
      </c>
      <c r="D36" s="71">
        <v>40</v>
      </c>
      <c r="E36" s="60">
        <f t="shared" si="0"/>
        <v>1</v>
      </c>
      <c r="F36" s="77">
        <v>5000</v>
      </c>
      <c r="G36" s="62">
        <f t="shared" si="1"/>
        <v>5000</v>
      </c>
      <c r="H36" s="63">
        <f t="shared" si="2"/>
        <v>1600</v>
      </c>
      <c r="I36" s="62">
        <f t="shared" si="3"/>
        <v>6600</v>
      </c>
      <c r="J36" s="64"/>
      <c r="K36" s="75">
        <v>140</v>
      </c>
      <c r="L36" s="76">
        <v>0.6</v>
      </c>
      <c r="M36" s="67">
        <f t="shared" si="4"/>
        <v>1104</v>
      </c>
      <c r="N36" s="68">
        <f t="shared" si="5"/>
        <v>154560</v>
      </c>
      <c r="O36" s="30">
        <f t="shared" si="6"/>
        <v>1840</v>
      </c>
      <c r="P36" s="30">
        <f t="shared" si="7"/>
        <v>1380</v>
      </c>
      <c r="Q36" s="30">
        <f t="shared" si="8"/>
        <v>1530</v>
      </c>
      <c r="R36" s="30"/>
      <c r="S36" s="30"/>
      <c r="T36" s="30"/>
      <c r="U36" s="30"/>
      <c r="V36" s="30"/>
      <c r="W36" s="30"/>
      <c r="X36" s="30"/>
      <c r="Y36" s="30"/>
      <c r="Z36" s="30"/>
    </row>
    <row r="37" spans="1:26" x14ac:dyDescent="0.2">
      <c r="A37" s="80"/>
      <c r="B37" s="81" t="s">
        <v>72</v>
      </c>
      <c r="C37" s="82">
        <v>5</v>
      </c>
      <c r="D37" s="71">
        <v>40</v>
      </c>
      <c r="E37" s="72">
        <f t="shared" si="0"/>
        <v>1</v>
      </c>
      <c r="F37" s="77">
        <v>3000</v>
      </c>
      <c r="G37" s="73">
        <f t="shared" si="1"/>
        <v>3000</v>
      </c>
      <c r="H37" s="74">
        <f t="shared" si="2"/>
        <v>960</v>
      </c>
      <c r="I37" s="73">
        <f t="shared" si="3"/>
        <v>3960</v>
      </c>
      <c r="J37" s="64"/>
      <c r="K37" s="75">
        <v>85</v>
      </c>
      <c r="L37" s="76">
        <v>0.9</v>
      </c>
      <c r="M37" s="67">
        <f t="shared" si="4"/>
        <v>1656</v>
      </c>
      <c r="N37" s="68">
        <f t="shared" si="5"/>
        <v>140760</v>
      </c>
      <c r="O37" s="30">
        <f t="shared" si="6"/>
        <v>1840</v>
      </c>
      <c r="P37" s="30">
        <f t="shared" si="7"/>
        <v>1226.6666666666667</v>
      </c>
      <c r="Q37" s="30">
        <f t="shared" si="8"/>
        <v>1360</v>
      </c>
      <c r="R37" s="30"/>
      <c r="S37" s="30"/>
      <c r="T37" s="30"/>
      <c r="U37" s="30"/>
      <c r="V37" s="30"/>
      <c r="W37" s="30"/>
      <c r="X37" s="30"/>
      <c r="Y37" s="30"/>
      <c r="Z37" s="30"/>
    </row>
    <row r="38" spans="1:26" x14ac:dyDescent="0.2">
      <c r="A38" s="80"/>
      <c r="B38" s="81" t="s">
        <v>73</v>
      </c>
      <c r="C38" s="70" t="s">
        <v>59</v>
      </c>
      <c r="D38" s="71">
        <v>0</v>
      </c>
      <c r="E38" s="60">
        <f t="shared" si="0"/>
        <v>0</v>
      </c>
      <c r="F38" s="77"/>
      <c r="G38" s="62">
        <f t="shared" si="1"/>
        <v>0</v>
      </c>
      <c r="H38" s="63">
        <f t="shared" si="2"/>
        <v>0</v>
      </c>
      <c r="I38" s="79">
        <f t="shared" si="3"/>
        <v>0</v>
      </c>
      <c r="J38" s="64"/>
      <c r="K38" s="75"/>
      <c r="L38" s="76"/>
      <c r="M38" s="67">
        <f t="shared" si="4"/>
        <v>0</v>
      </c>
      <c r="N38" s="68">
        <f t="shared" si="5"/>
        <v>0</v>
      </c>
      <c r="O38" s="30">
        <f t="shared" si="6"/>
        <v>0</v>
      </c>
      <c r="P38" s="30">
        <f t="shared" si="7"/>
        <v>0</v>
      </c>
      <c r="Q38" s="30">
        <f t="shared" si="8"/>
        <v>0</v>
      </c>
      <c r="R38" s="30"/>
      <c r="S38" s="30"/>
      <c r="T38" s="30"/>
      <c r="U38" s="30"/>
      <c r="V38" s="30"/>
      <c r="W38" s="30"/>
      <c r="X38" s="30"/>
      <c r="Y38" s="30"/>
      <c r="Z38" s="30"/>
    </row>
    <row r="39" spans="1:26" x14ac:dyDescent="0.2">
      <c r="A39" s="80"/>
      <c r="B39" s="83" t="s">
        <v>74</v>
      </c>
      <c r="C39" s="84" t="s">
        <v>59</v>
      </c>
      <c r="D39" s="85">
        <v>0</v>
      </c>
      <c r="E39" s="72">
        <f t="shared" si="0"/>
        <v>0</v>
      </c>
      <c r="F39" s="86"/>
      <c r="G39" s="73">
        <f t="shared" si="1"/>
        <v>0</v>
      </c>
      <c r="H39" s="74">
        <f t="shared" si="2"/>
        <v>0</v>
      </c>
      <c r="I39" s="78">
        <f t="shared" si="3"/>
        <v>0</v>
      </c>
      <c r="J39" s="64"/>
      <c r="K39" s="87"/>
      <c r="L39" s="88"/>
      <c r="M39" s="67">
        <f t="shared" si="4"/>
        <v>0</v>
      </c>
      <c r="N39" s="68">
        <f t="shared" si="5"/>
        <v>0</v>
      </c>
      <c r="O39" s="30">
        <f t="shared" si="6"/>
        <v>0</v>
      </c>
      <c r="P39" s="30">
        <f t="shared" si="7"/>
        <v>0</v>
      </c>
      <c r="Q39" s="30">
        <f t="shared" si="8"/>
        <v>0</v>
      </c>
      <c r="R39" s="30"/>
      <c r="S39" s="30"/>
      <c r="T39" s="30"/>
      <c r="U39" s="30"/>
      <c r="V39" s="30"/>
      <c r="W39" s="30"/>
      <c r="X39" s="30"/>
      <c r="Y39" s="30"/>
      <c r="Z39" s="30"/>
    </row>
    <row r="40" spans="1:26" x14ac:dyDescent="0.2">
      <c r="A40" s="89"/>
      <c r="B40" s="90"/>
      <c r="C40" s="91" t="s">
        <v>59</v>
      </c>
      <c r="D40" s="92"/>
      <c r="E40" s="93">
        <f>SUM(E16:E39)</f>
        <v>7.4</v>
      </c>
      <c r="F40" s="94"/>
      <c r="G40" s="95"/>
      <c r="H40" s="96"/>
      <c r="I40" s="97"/>
      <c r="J40" s="94"/>
      <c r="K40" s="98"/>
      <c r="L40" s="99"/>
      <c r="M40" s="100"/>
      <c r="N40" s="101"/>
      <c r="O40" s="30">
        <f t="shared" ref="O40:Q40" si="9">SUM(O16:O39)</f>
        <v>13616</v>
      </c>
      <c r="P40" s="30">
        <f t="shared" si="9"/>
        <v>12542.666666666666</v>
      </c>
      <c r="Q40" s="30">
        <f t="shared" si="9"/>
        <v>13906</v>
      </c>
      <c r="R40" s="30"/>
      <c r="S40" s="30"/>
      <c r="T40" s="30"/>
      <c r="U40" s="30"/>
      <c r="V40" s="30"/>
      <c r="W40" s="30"/>
      <c r="X40" s="30"/>
      <c r="Y40" s="30"/>
      <c r="Z40" s="30"/>
    </row>
    <row r="41" spans="1:26" x14ac:dyDescent="0.2">
      <c r="A41" s="30"/>
      <c r="B41" s="30"/>
      <c r="C41" s="102"/>
      <c r="D41" s="30"/>
      <c r="E41" s="30"/>
      <c r="F41" s="30"/>
      <c r="G41" s="30"/>
      <c r="H41" s="31"/>
      <c r="I41" s="30"/>
      <c r="J41" s="30"/>
      <c r="K41" s="30"/>
      <c r="L41" s="30"/>
      <c r="M41" s="30"/>
      <c r="N41" s="30"/>
      <c r="O41" s="30"/>
      <c r="P41" s="30"/>
      <c r="Q41" s="30"/>
      <c r="R41" s="30"/>
      <c r="S41" s="30"/>
      <c r="T41" s="30"/>
      <c r="U41" s="30"/>
      <c r="V41" s="30"/>
      <c r="W41" s="30"/>
      <c r="X41" s="30"/>
      <c r="Y41" s="30"/>
      <c r="Z41" s="30"/>
    </row>
    <row r="42" spans="1:26" ht="18.75" customHeight="1" x14ac:dyDescent="0.2">
      <c r="A42" s="35"/>
      <c r="B42" s="103" t="s">
        <v>75</v>
      </c>
      <c r="C42" s="104"/>
      <c r="D42" s="105"/>
      <c r="E42" s="106"/>
      <c r="F42" s="106"/>
      <c r="G42" s="106"/>
      <c r="H42" s="107"/>
      <c r="I42" s="108"/>
      <c r="J42" s="30"/>
      <c r="K42" s="30"/>
      <c r="L42" s="30"/>
      <c r="M42" s="30"/>
      <c r="N42" s="30"/>
      <c r="O42" s="30"/>
      <c r="P42" s="30"/>
      <c r="Q42" s="30"/>
      <c r="R42" s="30"/>
      <c r="S42" s="30"/>
      <c r="T42" s="30"/>
      <c r="U42" s="30"/>
      <c r="V42" s="30"/>
      <c r="W42" s="30"/>
      <c r="X42" s="30"/>
      <c r="Y42" s="30"/>
      <c r="Z42" s="30"/>
    </row>
    <row r="43" spans="1:26" ht="20.25" customHeight="1" x14ac:dyDescent="0.2">
      <c r="A43" s="35"/>
      <c r="B43" s="109" t="s">
        <v>34</v>
      </c>
      <c r="C43" s="110" t="s">
        <v>35</v>
      </c>
      <c r="D43" s="111" t="s">
        <v>36</v>
      </c>
      <c r="E43" s="112" t="s">
        <v>37</v>
      </c>
      <c r="F43" s="113" t="s">
        <v>38</v>
      </c>
      <c r="G43" s="113" t="s">
        <v>39</v>
      </c>
      <c r="H43" s="114" t="s">
        <v>40</v>
      </c>
      <c r="I43" s="115" t="s">
        <v>41</v>
      </c>
      <c r="J43" s="30"/>
      <c r="K43" s="30"/>
      <c r="L43" s="30"/>
      <c r="M43" s="30"/>
      <c r="N43" s="30"/>
      <c r="O43" s="30"/>
      <c r="P43" s="30"/>
      <c r="Q43" s="30"/>
      <c r="R43" s="30"/>
      <c r="S43" s="30"/>
      <c r="T43" s="30"/>
      <c r="U43" s="30"/>
      <c r="V43" s="30"/>
      <c r="W43" s="30"/>
      <c r="X43" s="30"/>
      <c r="Y43" s="30"/>
      <c r="Z43" s="30"/>
    </row>
    <row r="44" spans="1:26" x14ac:dyDescent="0.2">
      <c r="A44" s="56"/>
      <c r="B44" s="57" t="s">
        <v>76</v>
      </c>
      <c r="C44" s="58">
        <v>1</v>
      </c>
      <c r="D44" s="116">
        <v>32</v>
      </c>
      <c r="E44" s="117">
        <f t="shared" ref="E44:E50" si="10">D44/$C$9</f>
        <v>0.8</v>
      </c>
      <c r="F44" s="118">
        <v>4000</v>
      </c>
      <c r="G44" s="119">
        <f t="shared" ref="G44:G50" si="11">IF(F44&gt;0,F44*E44,)</f>
        <v>3200</v>
      </c>
      <c r="H44" s="119">
        <f t="shared" ref="H44:H50" si="12">IF(F44&gt;0,G44*$H$8,)</f>
        <v>1024</v>
      </c>
      <c r="I44" s="120">
        <f t="shared" ref="I44:I50" si="13">IF(F44&gt;0,G44+H44,)</f>
        <v>4224</v>
      </c>
      <c r="J44" s="30"/>
      <c r="K44" s="30"/>
      <c r="L44" s="30"/>
      <c r="M44" s="30"/>
      <c r="N44" s="30"/>
      <c r="O44" s="30">
        <f t="shared" ref="O44:O50" si="14">(D44/40)*($C$10-$C$11)</f>
        <v>1472</v>
      </c>
      <c r="P44" s="30">
        <f t="shared" ref="P44:P50" si="15">IFERROR((($C$12*E44)/12)*(13-C44),0)</f>
        <v>1472</v>
      </c>
      <c r="Q44" s="30">
        <f t="shared" ref="Q44:Q50" si="16">IFERROR((($C$10*E44)/12)*(13-C44),0)</f>
        <v>1632</v>
      </c>
      <c r="R44" s="30"/>
      <c r="S44" s="30"/>
      <c r="T44" s="30"/>
      <c r="U44" s="30"/>
      <c r="V44" s="30"/>
      <c r="W44" s="30"/>
      <c r="X44" s="30"/>
      <c r="Y44" s="30"/>
      <c r="Z44" s="30"/>
    </row>
    <row r="45" spans="1:26" x14ac:dyDescent="0.2">
      <c r="A45" s="56"/>
      <c r="B45" s="69" t="s">
        <v>77</v>
      </c>
      <c r="C45" s="70">
        <v>1</v>
      </c>
      <c r="D45" s="121">
        <v>40</v>
      </c>
      <c r="E45" s="122">
        <f t="shared" si="10"/>
        <v>1</v>
      </c>
      <c r="F45" s="123">
        <v>3500</v>
      </c>
      <c r="G45" s="74">
        <f t="shared" si="11"/>
        <v>3500</v>
      </c>
      <c r="H45" s="74">
        <f t="shared" si="12"/>
        <v>1120</v>
      </c>
      <c r="I45" s="124">
        <f t="shared" si="13"/>
        <v>4620</v>
      </c>
      <c r="J45" s="30"/>
      <c r="K45" s="30"/>
      <c r="L45" s="30"/>
      <c r="M45" s="30"/>
      <c r="N45" s="30"/>
      <c r="O45" s="30">
        <f t="shared" si="14"/>
        <v>1840</v>
      </c>
      <c r="P45" s="30">
        <f t="shared" si="15"/>
        <v>1840</v>
      </c>
      <c r="Q45" s="30">
        <f t="shared" si="16"/>
        <v>2040</v>
      </c>
      <c r="R45" s="30"/>
      <c r="S45" s="30"/>
      <c r="T45" s="30"/>
      <c r="U45" s="30"/>
      <c r="V45" s="30"/>
      <c r="W45" s="30"/>
      <c r="X45" s="30"/>
      <c r="Y45" s="30"/>
      <c r="Z45" s="30"/>
    </row>
    <row r="46" spans="1:26" x14ac:dyDescent="0.2">
      <c r="A46" s="56"/>
      <c r="B46" s="69" t="s">
        <v>78</v>
      </c>
      <c r="C46" s="70" t="s">
        <v>59</v>
      </c>
      <c r="D46" s="121">
        <v>0</v>
      </c>
      <c r="E46" s="117">
        <f t="shared" si="10"/>
        <v>0</v>
      </c>
      <c r="F46" s="123"/>
      <c r="G46" s="63">
        <f t="shared" si="11"/>
        <v>0</v>
      </c>
      <c r="H46" s="63">
        <f t="shared" si="12"/>
        <v>0</v>
      </c>
      <c r="I46" s="125">
        <f t="shared" si="13"/>
        <v>0</v>
      </c>
      <c r="J46" s="30"/>
      <c r="K46" s="30"/>
      <c r="L46" s="30"/>
      <c r="M46" s="30"/>
      <c r="N46" s="30"/>
      <c r="O46" s="30">
        <f t="shared" si="14"/>
        <v>0</v>
      </c>
      <c r="P46" s="30">
        <f t="shared" si="15"/>
        <v>0</v>
      </c>
      <c r="Q46" s="30">
        <f t="shared" si="16"/>
        <v>0</v>
      </c>
      <c r="R46" s="30"/>
      <c r="S46" s="30"/>
      <c r="T46" s="30"/>
      <c r="U46" s="30"/>
      <c r="V46" s="30"/>
      <c r="W46" s="30"/>
      <c r="X46" s="30"/>
      <c r="Y46" s="30"/>
      <c r="Z46" s="30"/>
    </row>
    <row r="47" spans="1:26" x14ac:dyDescent="0.2">
      <c r="A47" s="56"/>
      <c r="B47" s="69" t="s">
        <v>79</v>
      </c>
      <c r="C47" s="70" t="s">
        <v>59</v>
      </c>
      <c r="D47" s="121">
        <v>0</v>
      </c>
      <c r="E47" s="122">
        <f t="shared" si="10"/>
        <v>0</v>
      </c>
      <c r="F47" s="123"/>
      <c r="G47" s="74">
        <f t="shared" si="11"/>
        <v>0</v>
      </c>
      <c r="H47" s="74">
        <f t="shared" si="12"/>
        <v>0</v>
      </c>
      <c r="I47" s="126">
        <f t="shared" si="13"/>
        <v>0</v>
      </c>
      <c r="J47" s="30"/>
      <c r="K47" s="30"/>
      <c r="L47" s="30"/>
      <c r="M47" s="30"/>
      <c r="N47" s="30"/>
      <c r="O47" s="30">
        <f t="shared" si="14"/>
        <v>0</v>
      </c>
      <c r="P47" s="30">
        <f t="shared" si="15"/>
        <v>0</v>
      </c>
      <c r="Q47" s="30">
        <f t="shared" si="16"/>
        <v>0</v>
      </c>
      <c r="R47" s="30"/>
      <c r="S47" s="30"/>
      <c r="T47" s="30"/>
      <c r="U47" s="30"/>
      <c r="V47" s="30"/>
      <c r="W47" s="30"/>
      <c r="X47" s="30"/>
      <c r="Y47" s="30"/>
      <c r="Z47" s="30"/>
    </row>
    <row r="48" spans="1:26" x14ac:dyDescent="0.2">
      <c r="A48" s="56"/>
      <c r="B48" s="69" t="s">
        <v>80</v>
      </c>
      <c r="C48" s="70" t="s">
        <v>59</v>
      </c>
      <c r="D48" s="121">
        <v>0</v>
      </c>
      <c r="E48" s="117">
        <f t="shared" si="10"/>
        <v>0</v>
      </c>
      <c r="F48" s="123"/>
      <c r="G48" s="63">
        <f t="shared" si="11"/>
        <v>0</v>
      </c>
      <c r="H48" s="63">
        <f t="shared" si="12"/>
        <v>0</v>
      </c>
      <c r="I48" s="125">
        <f t="shared" si="13"/>
        <v>0</v>
      </c>
      <c r="J48" s="30"/>
      <c r="K48" s="30"/>
      <c r="L48" s="30"/>
      <c r="M48" s="30"/>
      <c r="N48" s="30"/>
      <c r="O48" s="30">
        <f t="shared" si="14"/>
        <v>0</v>
      </c>
      <c r="P48" s="30">
        <f t="shared" si="15"/>
        <v>0</v>
      </c>
      <c r="Q48" s="30">
        <f t="shared" si="16"/>
        <v>0</v>
      </c>
      <c r="R48" s="30"/>
      <c r="S48" s="30"/>
      <c r="T48" s="30"/>
      <c r="U48" s="30"/>
      <c r="V48" s="30"/>
      <c r="W48" s="30"/>
      <c r="X48" s="30"/>
      <c r="Y48" s="30"/>
      <c r="Z48" s="30"/>
    </row>
    <row r="49" spans="1:26" x14ac:dyDescent="0.2">
      <c r="A49" s="80"/>
      <c r="B49" s="81" t="s">
        <v>81</v>
      </c>
      <c r="C49" s="70">
        <v>7</v>
      </c>
      <c r="D49" s="121">
        <v>32</v>
      </c>
      <c r="E49" s="122">
        <f t="shared" si="10"/>
        <v>0.8</v>
      </c>
      <c r="F49" s="123">
        <v>3000</v>
      </c>
      <c r="G49" s="74">
        <f t="shared" si="11"/>
        <v>2400</v>
      </c>
      <c r="H49" s="74">
        <f t="shared" si="12"/>
        <v>768</v>
      </c>
      <c r="I49" s="124">
        <f t="shared" si="13"/>
        <v>3168</v>
      </c>
      <c r="J49" s="30"/>
      <c r="K49" s="30"/>
      <c r="L49" s="30"/>
      <c r="M49" s="30"/>
      <c r="N49" s="30"/>
      <c r="O49" s="30">
        <f t="shared" si="14"/>
        <v>1472</v>
      </c>
      <c r="P49" s="30">
        <f t="shared" si="15"/>
        <v>736</v>
      </c>
      <c r="Q49" s="30">
        <f t="shared" si="16"/>
        <v>816</v>
      </c>
      <c r="R49" s="30"/>
      <c r="S49" s="30"/>
      <c r="T49" s="30"/>
      <c r="U49" s="30"/>
      <c r="V49" s="30"/>
      <c r="W49" s="30"/>
      <c r="X49" s="30"/>
      <c r="Y49" s="30"/>
      <c r="Z49" s="30"/>
    </row>
    <row r="50" spans="1:26" x14ac:dyDescent="0.2">
      <c r="A50" s="80"/>
      <c r="B50" s="83" t="s">
        <v>82</v>
      </c>
      <c r="C50" s="84" t="s">
        <v>59</v>
      </c>
      <c r="D50" s="127">
        <v>0</v>
      </c>
      <c r="E50" s="117">
        <f t="shared" si="10"/>
        <v>0</v>
      </c>
      <c r="F50" s="128"/>
      <c r="G50" s="129">
        <f t="shared" si="11"/>
        <v>0</v>
      </c>
      <c r="H50" s="129">
        <f t="shared" si="12"/>
        <v>0</v>
      </c>
      <c r="I50" s="130">
        <f t="shared" si="13"/>
        <v>0</v>
      </c>
      <c r="J50" s="30"/>
      <c r="K50" s="30"/>
      <c r="L50" s="30"/>
      <c r="M50" s="30"/>
      <c r="N50" s="30"/>
      <c r="O50" s="30">
        <f t="shared" si="14"/>
        <v>0</v>
      </c>
      <c r="P50" s="30">
        <f t="shared" si="15"/>
        <v>0</v>
      </c>
      <c r="Q50" s="30">
        <f t="shared" si="16"/>
        <v>0</v>
      </c>
      <c r="R50" s="30"/>
      <c r="S50" s="30"/>
      <c r="T50" s="30"/>
      <c r="U50" s="30"/>
      <c r="V50" s="30"/>
      <c r="W50" s="30"/>
      <c r="X50" s="30"/>
      <c r="Y50" s="30"/>
      <c r="Z50" s="30"/>
    </row>
    <row r="51" spans="1:26" x14ac:dyDescent="0.2">
      <c r="A51" s="30"/>
      <c r="B51" s="131"/>
      <c r="C51" s="94"/>
      <c r="D51" s="94"/>
      <c r="E51" s="132">
        <f>SUM(E44:E50)</f>
        <v>2.6</v>
      </c>
      <c r="F51" s="94"/>
      <c r="G51" s="94"/>
      <c r="H51" s="133"/>
      <c r="I51" s="134">
        <f>SUM(I44:I50)</f>
        <v>12012</v>
      </c>
      <c r="J51" s="30"/>
      <c r="K51" s="30"/>
      <c r="L51" s="30"/>
      <c r="M51" s="30"/>
      <c r="N51" s="30"/>
      <c r="O51" s="30">
        <f t="shared" ref="O51:Q51" si="17">SUM(O16:O39,O44:O50)</f>
        <v>18400</v>
      </c>
      <c r="P51" s="30">
        <f t="shared" si="17"/>
        <v>16590.666666666664</v>
      </c>
      <c r="Q51" s="30">
        <f t="shared" si="17"/>
        <v>18394</v>
      </c>
      <c r="R51" s="30"/>
      <c r="S51" s="30"/>
      <c r="T51" s="30"/>
      <c r="U51" s="30"/>
      <c r="V51" s="30"/>
      <c r="W51" s="30"/>
      <c r="X51" s="30"/>
      <c r="Y51" s="30"/>
      <c r="Z51" s="30"/>
    </row>
    <row r="52" spans="1:26" x14ac:dyDescent="0.2">
      <c r="A52" s="30"/>
      <c r="B52" s="135"/>
      <c r="C52" s="135"/>
      <c r="D52" s="135"/>
      <c r="E52" s="135"/>
      <c r="F52" s="135"/>
      <c r="G52" s="30"/>
      <c r="H52" s="31"/>
      <c r="I52" s="30"/>
      <c r="J52" s="30"/>
      <c r="K52" s="30"/>
      <c r="L52" s="30"/>
      <c r="M52" s="30"/>
      <c r="N52" s="30"/>
      <c r="O52" s="30"/>
      <c r="P52" s="30"/>
      <c r="Q52" s="30"/>
      <c r="R52" s="30"/>
      <c r="S52" s="30"/>
      <c r="T52" s="30"/>
      <c r="U52" s="30"/>
      <c r="V52" s="30"/>
      <c r="W52" s="30"/>
      <c r="X52" s="30"/>
      <c r="Y52" s="30"/>
      <c r="Z52" s="30"/>
    </row>
    <row r="53" spans="1:26" x14ac:dyDescent="0.2">
      <c r="A53" s="136"/>
      <c r="B53" s="137"/>
      <c r="C53" s="138"/>
      <c r="D53" s="138"/>
      <c r="E53" s="138"/>
      <c r="F53" s="138"/>
      <c r="G53" s="139"/>
      <c r="H53" s="31"/>
      <c r="I53" s="30"/>
      <c r="J53" s="30"/>
      <c r="K53" s="30"/>
      <c r="L53" s="30"/>
      <c r="M53" s="30"/>
      <c r="N53" s="30"/>
      <c r="O53" s="30"/>
      <c r="P53" s="30"/>
      <c r="Q53" s="30"/>
      <c r="R53" s="30"/>
      <c r="S53" s="30"/>
      <c r="T53" s="30"/>
      <c r="U53" s="30"/>
      <c r="V53" s="30"/>
      <c r="W53" s="30"/>
      <c r="X53" s="30"/>
      <c r="Y53" s="30"/>
      <c r="Z53" s="30"/>
    </row>
    <row r="54" spans="1:26" ht="66" customHeight="1" x14ac:dyDescent="0.2">
      <c r="A54" s="136"/>
      <c r="B54" s="364"/>
      <c r="C54" s="365" t="s">
        <v>83</v>
      </c>
      <c r="D54" s="366"/>
      <c r="E54" s="367"/>
      <c r="F54" s="140"/>
      <c r="G54" s="35"/>
      <c r="H54" s="141"/>
      <c r="I54" s="35"/>
      <c r="J54" s="35"/>
      <c r="K54" s="35"/>
      <c r="L54" s="35"/>
      <c r="M54" s="35"/>
      <c r="N54" s="30"/>
      <c r="O54" s="30"/>
      <c r="P54" s="30"/>
      <c r="Q54" s="30"/>
      <c r="R54" s="30"/>
      <c r="S54" s="30"/>
      <c r="T54" s="30"/>
      <c r="U54" s="30"/>
      <c r="V54" s="30"/>
      <c r="W54" s="30"/>
      <c r="X54" s="30"/>
      <c r="Y54" s="30"/>
      <c r="Z54" s="30"/>
    </row>
    <row r="55" spans="1:26" ht="8.25" customHeight="1" x14ac:dyDescent="0.2">
      <c r="A55" s="142"/>
      <c r="B55" s="359"/>
      <c r="C55" s="368"/>
      <c r="D55" s="366"/>
      <c r="E55" s="367"/>
      <c r="F55" s="7"/>
      <c r="G55" s="30"/>
      <c r="H55" s="31"/>
      <c r="I55" s="30"/>
      <c r="J55" s="30"/>
      <c r="K55" s="30"/>
      <c r="L55" s="30"/>
      <c r="M55" s="30"/>
      <c r="N55" s="30"/>
      <c r="O55" s="30"/>
      <c r="P55" s="30"/>
      <c r="Q55" s="30"/>
      <c r="R55" s="30"/>
      <c r="S55" s="30"/>
      <c r="T55" s="30"/>
      <c r="U55" s="30"/>
      <c r="V55" s="30"/>
      <c r="W55" s="30"/>
      <c r="X55" s="30"/>
      <c r="Y55" s="30"/>
      <c r="Z55" s="30"/>
    </row>
    <row r="56" spans="1:26" ht="33.75" customHeight="1" x14ac:dyDescent="0.2">
      <c r="A56" s="142"/>
      <c r="B56" s="360"/>
      <c r="C56" s="377" t="s">
        <v>84</v>
      </c>
      <c r="D56" s="378"/>
      <c r="E56" s="379"/>
      <c r="F56" s="143"/>
      <c r="G56" s="30"/>
      <c r="H56" s="31"/>
      <c r="I56" s="30"/>
      <c r="J56" s="30"/>
      <c r="K56" s="30"/>
      <c r="L56" s="30"/>
      <c r="M56" s="30"/>
      <c r="N56" s="30"/>
      <c r="O56" s="30"/>
      <c r="P56" s="30"/>
      <c r="Q56" s="30"/>
      <c r="R56" s="30"/>
      <c r="S56" s="30"/>
      <c r="T56" s="30"/>
      <c r="U56" s="30"/>
      <c r="V56" s="30"/>
      <c r="W56" s="30"/>
      <c r="X56" s="30"/>
      <c r="Y56" s="30"/>
      <c r="Z56" s="30"/>
    </row>
    <row r="57" spans="1:26" ht="18.75" customHeight="1" x14ac:dyDescent="0.2">
      <c r="A57" s="144"/>
      <c r="B57" s="145"/>
      <c r="C57" s="79"/>
      <c r="D57" s="79"/>
      <c r="E57" s="79"/>
      <c r="F57" s="79"/>
      <c r="G57" s="144"/>
      <c r="H57" s="146"/>
      <c r="I57" s="144"/>
      <c r="J57" s="144"/>
      <c r="K57" s="144"/>
      <c r="L57" s="144"/>
      <c r="M57" s="144"/>
      <c r="N57" s="144"/>
      <c r="O57" s="144"/>
      <c r="P57" s="144"/>
      <c r="Q57" s="144"/>
      <c r="R57" s="144"/>
      <c r="S57" s="30"/>
      <c r="T57" s="30"/>
      <c r="U57" s="30"/>
      <c r="V57" s="30"/>
      <c r="W57" s="30"/>
      <c r="X57" s="30"/>
      <c r="Y57" s="30"/>
      <c r="Z57" s="30"/>
    </row>
    <row r="58" spans="1:26" ht="15" customHeight="1"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5" customHeight="1" x14ac:dyDescent="0.2">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5" customHeight="1" x14ac:dyDescent="0.2">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5" customHeight="1" x14ac:dyDescent="0.2">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5" customHeight="1" x14ac:dyDescent="0.2">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5" customHeight="1" x14ac:dyDescent="0.2">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5" customHeight="1" x14ac:dyDescent="0.2">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5" customHeight="1" x14ac:dyDescent="0.2">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5" customHeight="1" x14ac:dyDescent="0.2">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5" customHeight="1" x14ac:dyDescent="0.2">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5" customHeight="1" x14ac:dyDescent="0.2">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5" customHeight="1" x14ac:dyDescent="0.2">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sheetData>
  <mergeCells count="6">
    <mergeCell ref="B2:C2"/>
    <mergeCell ref="B7:H7"/>
    <mergeCell ref="B54:B56"/>
    <mergeCell ref="C54:E54"/>
    <mergeCell ref="C55:E55"/>
    <mergeCell ref="C56:E56"/>
  </mergeCells>
  <hyperlinks>
    <hyperlink ref="C56" r:id="rId1" location="campagne-section-4" xr:uid="{00000000-0004-0000-0100-000000000000}"/>
    <hyperlink ref="C56:E56" r:id="rId2" location="campagne-section-4" display="Bekijk Online Masterclass" xr:uid="{5F104449-ECE1-E641-82F4-8206E1DEE14E}"/>
  </hyperlinks>
  <pageMargins left="0.7" right="0.7" top="0.75" bottom="0.75" header="0.3" footer="0.3"/>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CE5CD"/>
    <outlinePr summaryBelow="0" summaryRight="0"/>
  </sheetPr>
  <dimension ref="A1:X57"/>
  <sheetViews>
    <sheetView workbookViewId="0">
      <selection activeCell="E42" sqref="E42"/>
    </sheetView>
  </sheetViews>
  <sheetFormatPr baseColWidth="10" defaultColWidth="14.5" defaultRowHeight="15" customHeight="1" x14ac:dyDescent="0.2"/>
  <cols>
    <col min="1" max="1" width="5" customWidth="1"/>
    <col min="2" max="2" width="23.6640625" customWidth="1"/>
  </cols>
  <sheetData>
    <row r="1" spans="1:24" ht="17.25" customHeight="1" x14ac:dyDescent="0.2">
      <c r="A1" s="29"/>
      <c r="B1" s="29"/>
      <c r="C1" s="30"/>
      <c r="D1" s="30"/>
      <c r="E1" s="30"/>
      <c r="F1" s="30"/>
      <c r="G1" s="30"/>
      <c r="H1" s="30"/>
      <c r="I1" s="30"/>
      <c r="J1" s="30"/>
      <c r="K1" s="30"/>
      <c r="L1" s="30"/>
      <c r="M1" s="30"/>
      <c r="N1" s="30"/>
      <c r="O1" s="30"/>
      <c r="P1" s="30"/>
      <c r="Q1" s="30"/>
      <c r="R1" s="30"/>
      <c r="S1" s="30"/>
      <c r="T1" s="30"/>
      <c r="U1" s="30"/>
      <c r="V1" s="30"/>
      <c r="W1" s="30"/>
      <c r="X1" s="30"/>
    </row>
    <row r="2" spans="1:24" ht="32.25" customHeight="1" x14ac:dyDescent="0.2">
      <c r="A2" s="29"/>
      <c r="B2" s="361"/>
      <c r="C2" s="343"/>
      <c r="D2" s="30"/>
      <c r="E2" s="30"/>
      <c r="F2" s="30"/>
      <c r="G2" s="30"/>
      <c r="H2" s="30"/>
      <c r="I2" s="30"/>
      <c r="J2" s="30"/>
      <c r="K2" s="30"/>
      <c r="L2" s="30"/>
      <c r="M2" s="30"/>
      <c r="N2" s="30"/>
      <c r="O2" s="30"/>
      <c r="P2" s="30"/>
      <c r="Q2" s="30"/>
      <c r="R2" s="30"/>
      <c r="S2" s="30"/>
      <c r="T2" s="30"/>
      <c r="U2" s="30"/>
      <c r="V2" s="30"/>
      <c r="W2" s="30"/>
      <c r="X2" s="30"/>
    </row>
    <row r="3" spans="1:24" ht="16.5" customHeight="1" x14ac:dyDescent="0.2">
      <c r="A3" s="29"/>
      <c r="B3" s="29"/>
      <c r="C3" s="30"/>
      <c r="D3" s="30"/>
      <c r="E3" s="30"/>
      <c r="F3" s="30"/>
      <c r="G3" s="30"/>
      <c r="H3" s="30"/>
      <c r="I3" s="30"/>
      <c r="J3" s="30"/>
      <c r="K3" s="30"/>
      <c r="L3" s="30"/>
      <c r="M3" s="30"/>
      <c r="N3" s="30"/>
      <c r="O3" s="30"/>
      <c r="P3" s="30"/>
      <c r="Q3" s="30"/>
      <c r="R3" s="30"/>
      <c r="S3" s="30"/>
      <c r="T3" s="30"/>
      <c r="U3" s="30"/>
      <c r="V3" s="30"/>
      <c r="W3" s="30"/>
      <c r="X3" s="30"/>
    </row>
    <row r="4" spans="1:24" ht="22" x14ac:dyDescent="0.25">
      <c r="A4" s="29"/>
      <c r="B4" s="32" t="s">
        <v>85</v>
      </c>
      <c r="C4" s="30"/>
      <c r="D4" s="30"/>
      <c r="E4" s="30"/>
      <c r="F4" s="30"/>
      <c r="G4" s="30"/>
      <c r="H4" s="30"/>
      <c r="I4" s="30"/>
      <c r="J4" s="30"/>
      <c r="K4" s="30"/>
      <c r="L4" s="30"/>
      <c r="M4" s="30"/>
      <c r="N4" s="30"/>
      <c r="O4" s="30"/>
      <c r="P4" s="30"/>
      <c r="Q4" s="30"/>
      <c r="R4" s="30"/>
      <c r="S4" s="30"/>
      <c r="T4" s="30"/>
      <c r="U4" s="30"/>
      <c r="V4" s="30"/>
      <c r="W4" s="30"/>
      <c r="X4" s="30"/>
    </row>
    <row r="5" spans="1:24" x14ac:dyDescent="0.2">
      <c r="A5" s="147"/>
      <c r="B5" s="369" t="s">
        <v>86</v>
      </c>
      <c r="C5" s="370"/>
      <c r="D5" s="370"/>
      <c r="E5" s="370"/>
      <c r="F5" s="370"/>
      <c r="G5" s="370"/>
      <c r="H5" s="370"/>
      <c r="I5" s="370"/>
      <c r="J5" s="370"/>
      <c r="K5" s="370"/>
      <c r="L5" s="370"/>
      <c r="M5" s="370"/>
      <c r="N5" s="370"/>
      <c r="O5" s="370"/>
      <c r="P5" s="30"/>
      <c r="Q5" s="30"/>
      <c r="R5" s="30"/>
      <c r="S5" s="30"/>
      <c r="T5" s="30"/>
      <c r="U5" s="30"/>
      <c r="V5" s="30"/>
      <c r="W5" s="30"/>
      <c r="X5" s="30"/>
    </row>
    <row r="6" spans="1:24" x14ac:dyDescent="0.2">
      <c r="A6" s="30"/>
      <c r="B6" s="30"/>
      <c r="C6" s="148"/>
      <c r="D6" s="148"/>
      <c r="E6" s="148"/>
      <c r="F6" s="148"/>
      <c r="G6" s="148"/>
      <c r="H6" s="148"/>
      <c r="I6" s="148"/>
      <c r="J6" s="148"/>
      <c r="K6" s="148"/>
      <c r="L6" s="148"/>
      <c r="M6" s="148"/>
      <c r="N6" s="148"/>
      <c r="O6" s="148"/>
      <c r="P6" s="30"/>
      <c r="Q6" s="30"/>
      <c r="R6" s="30"/>
      <c r="S6" s="30"/>
      <c r="T6" s="30"/>
      <c r="U6" s="30"/>
      <c r="V6" s="30"/>
      <c r="W6" s="30"/>
      <c r="X6" s="30"/>
    </row>
    <row r="7" spans="1:24" ht="19.5" customHeight="1" x14ac:dyDescent="0.2">
      <c r="A7" s="149"/>
      <c r="B7" s="150" t="s">
        <v>87</v>
      </c>
      <c r="C7" s="151" t="s">
        <v>88</v>
      </c>
      <c r="D7" s="151" t="s">
        <v>89</v>
      </c>
      <c r="E7" s="151" t="s">
        <v>90</v>
      </c>
      <c r="F7" s="151" t="s">
        <v>91</v>
      </c>
      <c r="G7" s="151" t="s">
        <v>92</v>
      </c>
      <c r="H7" s="151" t="s">
        <v>93</v>
      </c>
      <c r="I7" s="151" t="s">
        <v>94</v>
      </c>
      <c r="J7" s="151" t="s">
        <v>95</v>
      </c>
      <c r="K7" s="151" t="s">
        <v>96</v>
      </c>
      <c r="L7" s="151" t="s">
        <v>97</v>
      </c>
      <c r="M7" s="151" t="s">
        <v>98</v>
      </c>
      <c r="N7" s="151" t="s">
        <v>99</v>
      </c>
      <c r="O7" s="152" t="s">
        <v>100</v>
      </c>
      <c r="P7" s="30"/>
      <c r="Q7" s="30"/>
      <c r="R7" s="30"/>
      <c r="S7" s="30"/>
      <c r="T7" s="30"/>
      <c r="U7" s="30"/>
      <c r="V7" s="30"/>
      <c r="W7" s="30"/>
      <c r="X7" s="30"/>
    </row>
    <row r="8" spans="1:24" ht="21.75" customHeight="1" x14ac:dyDescent="0.2">
      <c r="A8" s="153"/>
      <c r="B8" s="154" t="s">
        <v>87</v>
      </c>
      <c r="C8" s="155">
        <v>1</v>
      </c>
      <c r="D8" s="155">
        <v>2</v>
      </c>
      <c r="E8" s="155">
        <v>3</v>
      </c>
      <c r="F8" s="155">
        <v>4</v>
      </c>
      <c r="G8" s="155">
        <v>5</v>
      </c>
      <c r="H8" s="155">
        <v>6</v>
      </c>
      <c r="I8" s="155">
        <v>7</v>
      </c>
      <c r="J8" s="155">
        <v>8</v>
      </c>
      <c r="K8" s="155">
        <v>9</v>
      </c>
      <c r="L8" s="155">
        <v>10</v>
      </c>
      <c r="M8" s="155">
        <v>11</v>
      </c>
      <c r="N8" s="156">
        <v>12</v>
      </c>
      <c r="O8" s="157"/>
      <c r="P8" s="30"/>
      <c r="Q8" s="30"/>
      <c r="R8" s="30"/>
      <c r="S8" s="30"/>
      <c r="T8" s="30"/>
      <c r="U8" s="30"/>
      <c r="V8" s="30"/>
      <c r="W8" s="30"/>
      <c r="X8" s="30"/>
    </row>
    <row r="9" spans="1:24" x14ac:dyDescent="0.2">
      <c r="A9" s="30"/>
      <c r="B9" s="19" t="s">
        <v>101</v>
      </c>
      <c r="C9" s="158">
        <v>0.02</v>
      </c>
      <c r="D9" s="158">
        <v>0.01</v>
      </c>
      <c r="E9" s="158">
        <v>1.4999999999999999E-2</v>
      </c>
      <c r="F9" s="158">
        <v>0.01</v>
      </c>
      <c r="G9" s="158">
        <v>0.02</v>
      </c>
      <c r="H9" s="158">
        <v>1.4999999999999999E-2</v>
      </c>
      <c r="I9" s="158">
        <v>0.03</v>
      </c>
      <c r="J9" s="158">
        <v>0.02</v>
      </c>
      <c r="K9" s="158">
        <v>0.03</v>
      </c>
      <c r="L9" s="158">
        <v>0.04</v>
      </c>
      <c r="M9" s="158">
        <v>0.04</v>
      </c>
      <c r="N9" s="158">
        <v>0.03</v>
      </c>
      <c r="O9" s="159">
        <f>AVERAGE(C9:N9)</f>
        <v>2.3333333333333334E-2</v>
      </c>
      <c r="P9" s="30"/>
      <c r="Q9" s="30"/>
      <c r="R9" s="30"/>
      <c r="S9" s="30"/>
      <c r="T9" s="30"/>
      <c r="U9" s="30"/>
      <c r="V9" s="30"/>
      <c r="W9" s="30"/>
      <c r="X9" s="30"/>
    </row>
    <row r="10" spans="1:24" x14ac:dyDescent="0.2">
      <c r="A10" s="30"/>
      <c r="B10" s="19" t="s">
        <v>102</v>
      </c>
      <c r="C10" s="160">
        <v>1.06</v>
      </c>
      <c r="D10" s="160">
        <v>0.91</v>
      </c>
      <c r="E10" s="160">
        <v>0.89</v>
      </c>
      <c r="F10" s="160">
        <v>1.1599999999999999</v>
      </c>
      <c r="G10" s="160">
        <v>1.08</v>
      </c>
      <c r="H10" s="160">
        <v>1.06</v>
      </c>
      <c r="I10" s="160">
        <v>0.59</v>
      </c>
      <c r="J10" s="160">
        <v>0.84</v>
      </c>
      <c r="K10" s="160">
        <v>1.02</v>
      </c>
      <c r="L10" s="160">
        <v>1.1599999999999999</v>
      </c>
      <c r="M10" s="160">
        <v>1.1100000000000001</v>
      </c>
      <c r="N10" s="160">
        <v>1.1200000000000001</v>
      </c>
      <c r="O10" s="161">
        <f t="shared" ref="O10:O11" si="0">SUM(C10:N10)</f>
        <v>12</v>
      </c>
      <c r="P10" s="30"/>
      <c r="Q10" s="30"/>
      <c r="R10" s="30"/>
      <c r="S10" s="30"/>
      <c r="T10" s="30"/>
      <c r="U10" s="30"/>
      <c r="V10" s="30"/>
      <c r="W10" s="30"/>
      <c r="X10" s="30"/>
    </row>
    <row r="11" spans="1:24" x14ac:dyDescent="0.2">
      <c r="A11" s="35"/>
      <c r="B11" s="162" t="s">
        <v>45</v>
      </c>
      <c r="C11" s="163">
        <f t="shared" ref="C11:N11" ca="1" si="1">SUM(C12:C330)*(1-C9)</f>
        <v>723.1433066666666</v>
      </c>
      <c r="D11" s="163">
        <f t="shared" ca="1" si="1"/>
        <v>627.14652000000001</v>
      </c>
      <c r="E11" s="163">
        <f t="shared" ca="1" si="1"/>
        <v>610.26528666666673</v>
      </c>
      <c r="F11" s="163">
        <f t="shared" ca="1" si="1"/>
        <v>905.09231999999997</v>
      </c>
      <c r="G11" s="163">
        <f t="shared" ca="1" si="1"/>
        <v>980.21951999999987</v>
      </c>
      <c r="H11" s="163">
        <f t="shared" ca="1" si="1"/>
        <v>966.97581333333324</v>
      </c>
      <c r="I11" s="163">
        <f t="shared" ca="1" si="1"/>
        <v>530.02610666666669</v>
      </c>
      <c r="J11" s="163">
        <f t="shared" ca="1" si="1"/>
        <v>762.3929599999999</v>
      </c>
      <c r="K11" s="163">
        <f t="shared" ca="1" si="1"/>
        <v>916.31631999999991</v>
      </c>
      <c r="L11" s="163">
        <f t="shared" ca="1" si="1"/>
        <v>1031.3420799999999</v>
      </c>
      <c r="M11" s="163">
        <f t="shared" ca="1" si="1"/>
        <v>986.88768000000027</v>
      </c>
      <c r="N11" s="163">
        <f t="shared" ca="1" si="1"/>
        <v>1006.1512533333333</v>
      </c>
      <c r="O11" s="164">
        <f t="shared" ca="1" si="0"/>
        <v>10045.959166666666</v>
      </c>
      <c r="P11" s="30"/>
      <c r="Q11" s="30"/>
      <c r="R11" s="30"/>
      <c r="S11" s="30"/>
      <c r="T11" s="30"/>
      <c r="U11" s="30"/>
      <c r="V11" s="30"/>
      <c r="W11" s="30"/>
      <c r="X11" s="30"/>
    </row>
    <row r="12" spans="1:24" x14ac:dyDescent="0.2">
      <c r="A12" s="30"/>
      <c r="B12" s="165" t="str">
        <f ca="1">IFERROR(__xludf.DUMMYFUNCTION("UNIQUE(FILTER('1. Invulsheet medewerkers'!B16:B50,('1. Invulsheet medewerkers'!D16:D50+1)&gt;1))"),"Medewerker 1")</f>
        <v>Medewerker 1</v>
      </c>
      <c r="C12" s="166">
        <f ca="1">IF($B12&gt;0, IF(VLOOKUP($B12,'1. Invulsheet medewerkers'!$B:$N,2,0)&lt;=C$8,(VLOOKUP($B12,'1. Invulsheet medewerkers'!$B:$N,12,0)/12)*C$10,0),)</f>
        <v>91.018666666666661</v>
      </c>
      <c r="D12" s="166">
        <f ca="1">IF($B12&gt;0, IF(VLOOKUP($B12,'1. Invulsheet medewerkers'!$B:$N,2,0)&lt;=D$8,(VLOOKUP($B12,'1. Invulsheet medewerkers'!$B:$N,12,0)/12)*D$10,0),)</f>
        <v>78.138666666666666</v>
      </c>
      <c r="E12" s="166">
        <f ca="1">IF($B12&gt;0, IF(VLOOKUP($B12,'1. Invulsheet medewerkers'!$B:$N,2,0)&lt;=E$8,(VLOOKUP($B12,'1. Invulsheet medewerkers'!$B:$N,12,0)/12)*E$10,0),)</f>
        <v>76.421333333333322</v>
      </c>
      <c r="F12" s="166">
        <f ca="1">IF($B12&gt;0, IF(VLOOKUP($B12,'1. Invulsheet medewerkers'!$B:$N,2,0)&lt;=F$8,(VLOOKUP($B12,'1. Invulsheet medewerkers'!$B:$N,12,0)/12)*F$10,0),)</f>
        <v>99.60533333333332</v>
      </c>
      <c r="G12" s="166">
        <f ca="1">IF($B12&gt;0, IF(VLOOKUP($B12,'1. Invulsheet medewerkers'!$B:$N,2,0)&lt;=G$8,(VLOOKUP($B12,'1. Invulsheet medewerkers'!$B:$N,12,0)/12)*G$10,0),)</f>
        <v>92.736000000000004</v>
      </c>
      <c r="H12" s="166">
        <f ca="1">IF($B12&gt;0, IF(VLOOKUP($B12,'1. Invulsheet medewerkers'!$B:$N,2,0)&lt;=H$8,(VLOOKUP($B12,'1. Invulsheet medewerkers'!$B:$N,12,0)/12)*H$10,0),)</f>
        <v>91.018666666666661</v>
      </c>
      <c r="I12" s="166">
        <f ca="1">IF($B12&gt;0, IF(VLOOKUP($B12,'1. Invulsheet medewerkers'!$B:$N,2,0)&lt;=I$8,(VLOOKUP($B12,'1. Invulsheet medewerkers'!$B:$N,12,0)/12)*I$10,0),)</f>
        <v>50.661333333333324</v>
      </c>
      <c r="J12" s="166">
        <f ca="1">IF($B12&gt;0, IF(VLOOKUP($B12,'1. Invulsheet medewerkers'!$B:$N,2,0)&lt;=J$8,(VLOOKUP($B12,'1. Invulsheet medewerkers'!$B:$N,12,0)/12)*J$10,0),)</f>
        <v>72.127999999999986</v>
      </c>
      <c r="K12" s="166">
        <f ca="1">IF($B12&gt;0, IF(VLOOKUP($B12,'1. Invulsheet medewerkers'!$B:$N,2,0)&lt;=K$8,(VLOOKUP($B12,'1. Invulsheet medewerkers'!$B:$N,12,0)/12)*K$10,0),)</f>
        <v>87.583999999999989</v>
      </c>
      <c r="L12" s="166">
        <f ca="1">IF($B12&gt;0, IF(VLOOKUP($B12,'1. Invulsheet medewerkers'!$B:$N,2,0)&lt;=L$8,(VLOOKUP($B12,'1. Invulsheet medewerkers'!$B:$N,12,0)/12)*L$10,0),)</f>
        <v>99.60533333333332</v>
      </c>
      <c r="M12" s="166">
        <f ca="1">IF($B12&gt;0, IF(VLOOKUP($B12,'1. Invulsheet medewerkers'!$B:$N,2,0)&lt;=M$8,(VLOOKUP($B12,'1. Invulsheet medewerkers'!$B:$N,12,0)/12)*M$10,0),)</f>
        <v>95.311999999999998</v>
      </c>
      <c r="N12" s="167">
        <f ca="1">IF($B12&gt;0, IF(VLOOKUP($B12,'1. Invulsheet medewerkers'!$B:$N,2,0)&lt;=N$8,(VLOOKUP($B12,'1. Invulsheet medewerkers'!$B:$N,12,0)/12)*N$10,0),)</f>
        <v>96.170666666666662</v>
      </c>
      <c r="O12" s="168">
        <f t="shared" ref="O12:O33" ca="1" si="2">IF(B12&gt;0, SUM(C12:N12),"")</f>
        <v>1030.4000000000001</v>
      </c>
      <c r="P12" s="31"/>
      <c r="Q12" s="31"/>
      <c r="R12" s="31"/>
      <c r="S12" s="31"/>
      <c r="T12" s="31"/>
      <c r="U12" s="31"/>
      <c r="V12" s="31"/>
      <c r="W12" s="31"/>
      <c r="X12" s="31"/>
    </row>
    <row r="13" spans="1:24" x14ac:dyDescent="0.2">
      <c r="A13" s="30"/>
      <c r="B13" s="169" t="str">
        <f ca="1">IFERROR(__xludf.DUMMYFUNCTION("""COMPUTED_VALUE"""),"Medewerker 2")</f>
        <v>Medewerker 2</v>
      </c>
      <c r="C13" s="170">
        <f ca="1">IF($B13&gt;0, IF(VLOOKUP($B13,'1. Invulsheet medewerkers'!$B:$N,2,0)&lt;=C$8,(VLOOKUP($B13,'1. Invulsheet medewerkers'!$B:$N,12,0)/12)*C$10,0),)</f>
        <v>32.506666666666668</v>
      </c>
      <c r="D13" s="170">
        <f ca="1">IF($B13&gt;0, IF(VLOOKUP($B13,'1. Invulsheet medewerkers'!$B:$N,2,0)&lt;=D$8,(VLOOKUP($B13,'1. Invulsheet medewerkers'!$B:$N,12,0)/12)*D$10,0),)</f>
        <v>27.90666666666667</v>
      </c>
      <c r="E13" s="170">
        <f ca="1">IF($B13&gt;0, IF(VLOOKUP($B13,'1. Invulsheet medewerkers'!$B:$N,2,0)&lt;=E$8,(VLOOKUP($B13,'1. Invulsheet medewerkers'!$B:$N,12,0)/12)*E$10,0),)</f>
        <v>27.293333333333337</v>
      </c>
      <c r="F13" s="170">
        <f ca="1">IF($B13&gt;0, IF(VLOOKUP($B13,'1. Invulsheet medewerkers'!$B:$N,2,0)&lt;=F$8,(VLOOKUP($B13,'1. Invulsheet medewerkers'!$B:$N,12,0)/12)*F$10,0),)</f>
        <v>35.573333333333331</v>
      </c>
      <c r="G13" s="170">
        <f ca="1">IF($B13&gt;0, IF(VLOOKUP($B13,'1. Invulsheet medewerkers'!$B:$N,2,0)&lt;=G$8,(VLOOKUP($B13,'1. Invulsheet medewerkers'!$B:$N,12,0)/12)*G$10,0),)</f>
        <v>33.120000000000005</v>
      </c>
      <c r="H13" s="170">
        <f ca="1">IF($B13&gt;0, IF(VLOOKUP($B13,'1. Invulsheet medewerkers'!$B:$N,2,0)&lt;=H$8,(VLOOKUP($B13,'1. Invulsheet medewerkers'!$B:$N,12,0)/12)*H$10,0),)</f>
        <v>32.506666666666668</v>
      </c>
      <c r="I13" s="170">
        <f ca="1">IF($B13&gt;0, IF(VLOOKUP($B13,'1. Invulsheet medewerkers'!$B:$N,2,0)&lt;=I$8,(VLOOKUP($B13,'1. Invulsheet medewerkers'!$B:$N,12,0)/12)*I$10,0),)</f>
        <v>18.093333333333334</v>
      </c>
      <c r="J13" s="170">
        <f ca="1">IF($B13&gt;0, IF(VLOOKUP($B13,'1. Invulsheet medewerkers'!$B:$N,2,0)&lt;=J$8,(VLOOKUP($B13,'1. Invulsheet medewerkers'!$B:$N,12,0)/12)*J$10,0),)</f>
        <v>25.76</v>
      </c>
      <c r="K13" s="170">
        <f ca="1">IF($B13&gt;0, IF(VLOOKUP($B13,'1. Invulsheet medewerkers'!$B:$N,2,0)&lt;=K$8,(VLOOKUP($B13,'1. Invulsheet medewerkers'!$B:$N,12,0)/12)*K$10,0),)</f>
        <v>31.28</v>
      </c>
      <c r="L13" s="170">
        <f ca="1">IF($B13&gt;0, IF(VLOOKUP($B13,'1. Invulsheet medewerkers'!$B:$N,2,0)&lt;=L$8,(VLOOKUP($B13,'1. Invulsheet medewerkers'!$B:$N,12,0)/12)*L$10,0),)</f>
        <v>35.573333333333331</v>
      </c>
      <c r="M13" s="170">
        <f ca="1">IF($B13&gt;0, IF(VLOOKUP($B13,'1. Invulsheet medewerkers'!$B:$N,2,0)&lt;=M$8,(VLOOKUP($B13,'1. Invulsheet medewerkers'!$B:$N,12,0)/12)*M$10,0),)</f>
        <v>34.040000000000006</v>
      </c>
      <c r="N13" s="171">
        <f ca="1">IF($B13&gt;0, IF(VLOOKUP($B13,'1. Invulsheet medewerkers'!$B:$N,2,0)&lt;=N$8,(VLOOKUP($B13,'1. Invulsheet medewerkers'!$B:$N,12,0)/12)*N$10,0),)</f>
        <v>34.346666666666671</v>
      </c>
      <c r="O13" s="168">
        <f t="shared" ca="1" si="2"/>
        <v>368</v>
      </c>
      <c r="P13" s="31"/>
      <c r="Q13" s="31"/>
      <c r="R13" s="31"/>
      <c r="S13" s="31"/>
      <c r="T13" s="31"/>
      <c r="U13" s="31"/>
      <c r="V13" s="31"/>
      <c r="W13" s="31"/>
      <c r="X13" s="31"/>
    </row>
    <row r="14" spans="1:24" x14ac:dyDescent="0.2">
      <c r="A14" s="30"/>
      <c r="B14" s="172" t="str">
        <f ca="1">IFERROR(__xludf.DUMMYFUNCTION("""COMPUTED_VALUE"""),"Medewerker 3")</f>
        <v>Medewerker 3</v>
      </c>
      <c r="C14" s="173">
        <f ca="1">IF($B14&gt;0, IF(VLOOKUP($B14,'1. Invulsheet medewerkers'!$B:$N,2,0)&lt;=C$8,(VLOOKUP($B14,'1. Invulsheet medewerkers'!$B:$N,12,0)/12)*C$10,0),)</f>
        <v>130.02666666666667</v>
      </c>
      <c r="D14" s="173">
        <f ca="1">IF($B14&gt;0, IF(VLOOKUP($B14,'1. Invulsheet medewerkers'!$B:$N,2,0)&lt;=D$8,(VLOOKUP($B14,'1. Invulsheet medewerkers'!$B:$N,12,0)/12)*D$10,0),)</f>
        <v>111.62666666666668</v>
      </c>
      <c r="E14" s="173">
        <f ca="1">IF($B14&gt;0, IF(VLOOKUP($B14,'1. Invulsheet medewerkers'!$B:$N,2,0)&lt;=E$8,(VLOOKUP($B14,'1. Invulsheet medewerkers'!$B:$N,12,0)/12)*E$10,0),)</f>
        <v>109.17333333333335</v>
      </c>
      <c r="F14" s="173">
        <f ca="1">IF($B14&gt;0, IF(VLOOKUP($B14,'1. Invulsheet medewerkers'!$B:$N,2,0)&lt;=F$8,(VLOOKUP($B14,'1. Invulsheet medewerkers'!$B:$N,12,0)/12)*F$10,0),)</f>
        <v>142.29333333333332</v>
      </c>
      <c r="G14" s="173">
        <f ca="1">IF($B14&gt;0, IF(VLOOKUP($B14,'1. Invulsheet medewerkers'!$B:$N,2,0)&lt;=G$8,(VLOOKUP($B14,'1. Invulsheet medewerkers'!$B:$N,12,0)/12)*G$10,0),)</f>
        <v>132.48000000000002</v>
      </c>
      <c r="H14" s="173">
        <f ca="1">IF($B14&gt;0, IF(VLOOKUP($B14,'1. Invulsheet medewerkers'!$B:$N,2,0)&lt;=H$8,(VLOOKUP($B14,'1. Invulsheet medewerkers'!$B:$N,12,0)/12)*H$10,0),)</f>
        <v>130.02666666666667</v>
      </c>
      <c r="I14" s="173">
        <f ca="1">IF($B14&gt;0, IF(VLOOKUP($B14,'1. Invulsheet medewerkers'!$B:$N,2,0)&lt;=I$8,(VLOOKUP($B14,'1. Invulsheet medewerkers'!$B:$N,12,0)/12)*I$10,0),)</f>
        <v>72.373333333333335</v>
      </c>
      <c r="J14" s="173">
        <f ca="1">IF($B14&gt;0, IF(VLOOKUP($B14,'1. Invulsheet medewerkers'!$B:$N,2,0)&lt;=J$8,(VLOOKUP($B14,'1. Invulsheet medewerkers'!$B:$N,12,0)/12)*J$10,0),)</f>
        <v>103.04</v>
      </c>
      <c r="K14" s="173">
        <f ca="1">IF($B14&gt;0, IF(VLOOKUP($B14,'1. Invulsheet medewerkers'!$B:$N,2,0)&lt;=K$8,(VLOOKUP($B14,'1. Invulsheet medewerkers'!$B:$N,12,0)/12)*K$10,0),)</f>
        <v>125.12</v>
      </c>
      <c r="L14" s="173">
        <f ca="1">IF($B14&gt;0, IF(VLOOKUP($B14,'1. Invulsheet medewerkers'!$B:$N,2,0)&lt;=L$8,(VLOOKUP($B14,'1. Invulsheet medewerkers'!$B:$N,12,0)/12)*L$10,0),)</f>
        <v>142.29333333333332</v>
      </c>
      <c r="M14" s="173">
        <f ca="1">IF($B14&gt;0, IF(VLOOKUP($B14,'1. Invulsheet medewerkers'!$B:$N,2,0)&lt;=M$8,(VLOOKUP($B14,'1. Invulsheet medewerkers'!$B:$N,12,0)/12)*M$10,0),)</f>
        <v>136.16000000000003</v>
      </c>
      <c r="N14" s="174">
        <f ca="1">IF($B14&gt;0, IF(VLOOKUP($B14,'1. Invulsheet medewerkers'!$B:$N,2,0)&lt;=N$8,(VLOOKUP($B14,'1. Invulsheet medewerkers'!$B:$N,12,0)/12)*N$10,0),)</f>
        <v>137.38666666666668</v>
      </c>
      <c r="O14" s="168">
        <f t="shared" ca="1" si="2"/>
        <v>1472</v>
      </c>
      <c r="P14" s="31"/>
      <c r="Q14" s="31"/>
      <c r="R14" s="31"/>
      <c r="S14" s="31"/>
      <c r="T14" s="31"/>
      <c r="U14" s="31"/>
      <c r="V14" s="31"/>
      <c r="W14" s="31"/>
      <c r="X14" s="31"/>
    </row>
    <row r="15" spans="1:24" x14ac:dyDescent="0.2">
      <c r="A15" s="30"/>
      <c r="B15" s="169" t="str">
        <f ca="1">IFERROR(__xludf.DUMMYFUNCTION("""COMPUTED_VALUE"""),"Medewerker 4")</f>
        <v>Medewerker 4</v>
      </c>
      <c r="C15" s="170">
        <f ca="1">IF($B15&gt;0, IF(VLOOKUP($B15,'1. Invulsheet medewerkers'!$B:$N,2,0)&lt;=C$8,(VLOOKUP($B15,'1. Invulsheet medewerkers'!$B:$N,12,0)/12)*C$10,0),)</f>
        <v>130.02666666666667</v>
      </c>
      <c r="D15" s="170">
        <f ca="1">IF($B15&gt;0, IF(VLOOKUP($B15,'1. Invulsheet medewerkers'!$B:$N,2,0)&lt;=D$8,(VLOOKUP($B15,'1. Invulsheet medewerkers'!$B:$N,12,0)/12)*D$10,0),)</f>
        <v>111.62666666666668</v>
      </c>
      <c r="E15" s="170">
        <f ca="1">IF($B15&gt;0, IF(VLOOKUP($B15,'1. Invulsheet medewerkers'!$B:$N,2,0)&lt;=E$8,(VLOOKUP($B15,'1. Invulsheet medewerkers'!$B:$N,12,0)/12)*E$10,0),)</f>
        <v>109.17333333333335</v>
      </c>
      <c r="F15" s="170">
        <f ca="1">IF($B15&gt;0, IF(VLOOKUP($B15,'1. Invulsheet medewerkers'!$B:$N,2,0)&lt;=F$8,(VLOOKUP($B15,'1. Invulsheet medewerkers'!$B:$N,12,0)/12)*F$10,0),)</f>
        <v>142.29333333333332</v>
      </c>
      <c r="G15" s="170">
        <f ca="1">IF($B15&gt;0, IF(VLOOKUP($B15,'1. Invulsheet medewerkers'!$B:$N,2,0)&lt;=G$8,(VLOOKUP($B15,'1. Invulsheet medewerkers'!$B:$N,12,0)/12)*G$10,0),)</f>
        <v>132.48000000000002</v>
      </c>
      <c r="H15" s="170">
        <f ca="1">IF($B15&gt;0, IF(VLOOKUP($B15,'1. Invulsheet medewerkers'!$B:$N,2,0)&lt;=H$8,(VLOOKUP($B15,'1. Invulsheet medewerkers'!$B:$N,12,0)/12)*H$10,0),)</f>
        <v>130.02666666666667</v>
      </c>
      <c r="I15" s="170">
        <f ca="1">IF($B15&gt;0, IF(VLOOKUP($B15,'1. Invulsheet medewerkers'!$B:$N,2,0)&lt;=I$8,(VLOOKUP($B15,'1. Invulsheet medewerkers'!$B:$N,12,0)/12)*I$10,0),)</f>
        <v>72.373333333333335</v>
      </c>
      <c r="J15" s="170">
        <f ca="1">IF($B15&gt;0, IF(VLOOKUP($B15,'1. Invulsheet medewerkers'!$B:$N,2,0)&lt;=J$8,(VLOOKUP($B15,'1. Invulsheet medewerkers'!$B:$N,12,0)/12)*J$10,0),)</f>
        <v>103.04</v>
      </c>
      <c r="K15" s="170">
        <f ca="1">IF($B15&gt;0, IF(VLOOKUP($B15,'1. Invulsheet medewerkers'!$B:$N,2,0)&lt;=K$8,(VLOOKUP($B15,'1. Invulsheet medewerkers'!$B:$N,12,0)/12)*K$10,0),)</f>
        <v>125.12</v>
      </c>
      <c r="L15" s="170">
        <f ca="1">IF($B15&gt;0, IF(VLOOKUP($B15,'1. Invulsheet medewerkers'!$B:$N,2,0)&lt;=L$8,(VLOOKUP($B15,'1. Invulsheet medewerkers'!$B:$N,12,0)/12)*L$10,0),)</f>
        <v>142.29333333333332</v>
      </c>
      <c r="M15" s="170">
        <f ca="1">IF($B15&gt;0, IF(VLOOKUP($B15,'1. Invulsheet medewerkers'!$B:$N,2,0)&lt;=M$8,(VLOOKUP($B15,'1. Invulsheet medewerkers'!$B:$N,12,0)/12)*M$10,0),)</f>
        <v>136.16000000000003</v>
      </c>
      <c r="N15" s="171">
        <f ca="1">IF($B15&gt;0, IF(VLOOKUP($B15,'1. Invulsheet medewerkers'!$B:$N,2,0)&lt;=N$8,(VLOOKUP($B15,'1. Invulsheet medewerkers'!$B:$N,12,0)/12)*N$10,0),)</f>
        <v>137.38666666666668</v>
      </c>
      <c r="O15" s="168">
        <f t="shared" ca="1" si="2"/>
        <v>1472</v>
      </c>
      <c r="P15" s="31"/>
      <c r="Q15" s="31"/>
      <c r="R15" s="31"/>
      <c r="S15" s="31"/>
      <c r="T15" s="31"/>
      <c r="U15" s="31"/>
      <c r="V15" s="31"/>
      <c r="W15" s="31"/>
      <c r="X15" s="31"/>
    </row>
    <row r="16" spans="1:24" x14ac:dyDescent="0.2">
      <c r="A16" s="30"/>
      <c r="B16" s="172" t="str">
        <f ca="1">IFERROR(__xludf.DUMMYFUNCTION("""COMPUTED_VALUE"""),"Medewerker 5")</f>
        <v>Medewerker 5</v>
      </c>
      <c r="C16" s="173">
        <f ca="1">IF($B16&gt;0, IF(VLOOKUP($B16,'1. Invulsheet medewerkers'!$B:$N,2,0)&lt;=C$8,(VLOOKUP($B16,'1. Invulsheet medewerkers'!$B:$N,12,0)/12)*C$10,0),)</f>
        <v>146.28</v>
      </c>
      <c r="D16" s="173">
        <f ca="1">IF($B16&gt;0, IF(VLOOKUP($B16,'1. Invulsheet medewerkers'!$B:$N,2,0)&lt;=D$8,(VLOOKUP($B16,'1. Invulsheet medewerkers'!$B:$N,12,0)/12)*D$10,0),)</f>
        <v>125.58</v>
      </c>
      <c r="E16" s="173">
        <f ca="1">IF($B16&gt;0, IF(VLOOKUP($B16,'1. Invulsheet medewerkers'!$B:$N,2,0)&lt;=E$8,(VLOOKUP($B16,'1. Invulsheet medewerkers'!$B:$N,12,0)/12)*E$10,0),)</f>
        <v>122.82000000000001</v>
      </c>
      <c r="F16" s="173">
        <f ca="1">IF($B16&gt;0, IF(VLOOKUP($B16,'1. Invulsheet medewerkers'!$B:$N,2,0)&lt;=F$8,(VLOOKUP($B16,'1. Invulsheet medewerkers'!$B:$N,12,0)/12)*F$10,0),)</f>
        <v>160.07999999999998</v>
      </c>
      <c r="G16" s="173">
        <f ca="1">IF($B16&gt;0, IF(VLOOKUP($B16,'1. Invulsheet medewerkers'!$B:$N,2,0)&lt;=G$8,(VLOOKUP($B16,'1. Invulsheet medewerkers'!$B:$N,12,0)/12)*G$10,0),)</f>
        <v>149.04000000000002</v>
      </c>
      <c r="H16" s="173">
        <f ca="1">IF($B16&gt;0, IF(VLOOKUP($B16,'1. Invulsheet medewerkers'!$B:$N,2,0)&lt;=H$8,(VLOOKUP($B16,'1. Invulsheet medewerkers'!$B:$N,12,0)/12)*H$10,0),)</f>
        <v>146.28</v>
      </c>
      <c r="I16" s="173">
        <f ca="1">IF($B16&gt;0, IF(VLOOKUP($B16,'1. Invulsheet medewerkers'!$B:$N,2,0)&lt;=I$8,(VLOOKUP($B16,'1. Invulsheet medewerkers'!$B:$N,12,0)/12)*I$10,0),)</f>
        <v>81.42</v>
      </c>
      <c r="J16" s="173">
        <f ca="1">IF($B16&gt;0, IF(VLOOKUP($B16,'1. Invulsheet medewerkers'!$B:$N,2,0)&lt;=J$8,(VLOOKUP($B16,'1. Invulsheet medewerkers'!$B:$N,12,0)/12)*J$10,0),)</f>
        <v>115.92</v>
      </c>
      <c r="K16" s="173">
        <f ca="1">IF($B16&gt;0, IF(VLOOKUP($B16,'1. Invulsheet medewerkers'!$B:$N,2,0)&lt;=K$8,(VLOOKUP($B16,'1. Invulsheet medewerkers'!$B:$N,12,0)/12)*K$10,0),)</f>
        <v>140.76</v>
      </c>
      <c r="L16" s="173">
        <f ca="1">IF($B16&gt;0, IF(VLOOKUP($B16,'1. Invulsheet medewerkers'!$B:$N,2,0)&lt;=L$8,(VLOOKUP($B16,'1. Invulsheet medewerkers'!$B:$N,12,0)/12)*L$10,0),)</f>
        <v>160.07999999999998</v>
      </c>
      <c r="M16" s="173">
        <f ca="1">IF($B16&gt;0, IF(VLOOKUP($B16,'1. Invulsheet medewerkers'!$B:$N,2,0)&lt;=M$8,(VLOOKUP($B16,'1. Invulsheet medewerkers'!$B:$N,12,0)/12)*M$10,0),)</f>
        <v>153.18</v>
      </c>
      <c r="N16" s="174">
        <f ca="1">IF($B16&gt;0, IF(VLOOKUP($B16,'1. Invulsheet medewerkers'!$B:$N,2,0)&lt;=N$8,(VLOOKUP($B16,'1. Invulsheet medewerkers'!$B:$N,12,0)/12)*N$10,0),)</f>
        <v>154.56</v>
      </c>
      <c r="O16" s="168">
        <f t="shared" ca="1" si="2"/>
        <v>1655.9999999999998</v>
      </c>
      <c r="P16" s="31"/>
      <c r="Q16" s="31"/>
      <c r="R16" s="31"/>
      <c r="S16" s="31"/>
      <c r="T16" s="31"/>
      <c r="U16" s="31"/>
      <c r="V16" s="31"/>
      <c r="W16" s="31"/>
      <c r="X16" s="31"/>
    </row>
    <row r="17" spans="1:24" x14ac:dyDescent="0.2">
      <c r="A17" s="30"/>
      <c r="B17" s="169" t="str">
        <f ca="1">IFERROR(__xludf.DUMMYFUNCTION("""COMPUTED_VALUE"""),"Medewerker 6")</f>
        <v>Medewerker 6</v>
      </c>
      <c r="C17" s="170">
        <f ca="1">IF($B17&gt;0, IF(VLOOKUP($B17,'1. Invulsheet medewerkers'!$B:$N,2,0)&lt;=C$8,(VLOOKUP($B17,'1. Invulsheet medewerkers'!$B:$N,12,0)/12)*C$10,0),)</f>
        <v>117.02400000000003</v>
      </c>
      <c r="D17" s="170">
        <f ca="1">IF($B17&gt;0, IF(VLOOKUP($B17,'1. Invulsheet medewerkers'!$B:$N,2,0)&lt;=D$8,(VLOOKUP($B17,'1. Invulsheet medewerkers'!$B:$N,12,0)/12)*D$10,0),)</f>
        <v>100.46400000000003</v>
      </c>
      <c r="E17" s="170">
        <f ca="1">IF($B17&gt;0, IF(VLOOKUP($B17,'1. Invulsheet medewerkers'!$B:$N,2,0)&lt;=E$8,(VLOOKUP($B17,'1. Invulsheet medewerkers'!$B:$N,12,0)/12)*E$10,0),)</f>
        <v>98.256000000000014</v>
      </c>
      <c r="F17" s="170">
        <f ca="1">IF($B17&gt;0, IF(VLOOKUP($B17,'1. Invulsheet medewerkers'!$B:$N,2,0)&lt;=F$8,(VLOOKUP($B17,'1. Invulsheet medewerkers'!$B:$N,12,0)/12)*F$10,0),)</f>
        <v>128.06400000000002</v>
      </c>
      <c r="G17" s="170">
        <f ca="1">IF($B17&gt;0, IF(VLOOKUP($B17,'1. Invulsheet medewerkers'!$B:$N,2,0)&lt;=G$8,(VLOOKUP($B17,'1. Invulsheet medewerkers'!$B:$N,12,0)/12)*G$10,0),)</f>
        <v>119.23200000000003</v>
      </c>
      <c r="H17" s="170">
        <f ca="1">IF($B17&gt;0, IF(VLOOKUP($B17,'1. Invulsheet medewerkers'!$B:$N,2,0)&lt;=H$8,(VLOOKUP($B17,'1. Invulsheet medewerkers'!$B:$N,12,0)/12)*H$10,0),)</f>
        <v>117.02400000000003</v>
      </c>
      <c r="I17" s="170">
        <f ca="1">IF($B17&gt;0, IF(VLOOKUP($B17,'1. Invulsheet medewerkers'!$B:$N,2,0)&lt;=I$8,(VLOOKUP($B17,'1. Invulsheet medewerkers'!$B:$N,12,0)/12)*I$10,0),)</f>
        <v>65.13600000000001</v>
      </c>
      <c r="J17" s="170">
        <f ca="1">IF($B17&gt;0, IF(VLOOKUP($B17,'1. Invulsheet medewerkers'!$B:$N,2,0)&lt;=J$8,(VLOOKUP($B17,'1. Invulsheet medewerkers'!$B:$N,12,0)/12)*J$10,0),)</f>
        <v>92.736000000000018</v>
      </c>
      <c r="K17" s="170">
        <f ca="1">IF($B17&gt;0, IF(VLOOKUP($B17,'1. Invulsheet medewerkers'!$B:$N,2,0)&lt;=K$8,(VLOOKUP($B17,'1. Invulsheet medewerkers'!$B:$N,12,0)/12)*K$10,0),)</f>
        <v>112.60800000000002</v>
      </c>
      <c r="L17" s="170">
        <f ca="1">IF($B17&gt;0, IF(VLOOKUP($B17,'1. Invulsheet medewerkers'!$B:$N,2,0)&lt;=L$8,(VLOOKUP($B17,'1. Invulsheet medewerkers'!$B:$N,12,0)/12)*L$10,0),)</f>
        <v>128.06400000000002</v>
      </c>
      <c r="M17" s="170">
        <f ca="1">IF($B17&gt;0, IF(VLOOKUP($B17,'1. Invulsheet medewerkers'!$B:$N,2,0)&lt;=M$8,(VLOOKUP($B17,'1. Invulsheet medewerkers'!$B:$N,12,0)/12)*M$10,0),)</f>
        <v>122.54400000000004</v>
      </c>
      <c r="N17" s="171">
        <f ca="1">IF($B17&gt;0, IF(VLOOKUP($B17,'1. Invulsheet medewerkers'!$B:$N,2,0)&lt;=N$8,(VLOOKUP($B17,'1. Invulsheet medewerkers'!$B:$N,12,0)/12)*N$10,0),)</f>
        <v>123.64800000000004</v>
      </c>
      <c r="O17" s="168">
        <f t="shared" ca="1" si="2"/>
        <v>1324.8000000000004</v>
      </c>
      <c r="P17" s="31"/>
      <c r="Q17" s="31"/>
      <c r="R17" s="31"/>
      <c r="S17" s="31"/>
      <c r="T17" s="31"/>
      <c r="U17" s="31"/>
      <c r="V17" s="31"/>
      <c r="W17" s="31"/>
      <c r="X17" s="31"/>
    </row>
    <row r="18" spans="1:24" x14ac:dyDescent="0.2">
      <c r="A18" s="30"/>
      <c r="B18" s="172" t="str">
        <f ca="1">IFERROR(__xludf.DUMMYFUNCTION("""COMPUTED_VALUE"""),"Medewerker 7")</f>
        <v>Medewerker 7</v>
      </c>
      <c r="C18" s="173">
        <f ca="1">IF($B18&gt;0, IF(VLOOKUP($B18,'1. Invulsheet medewerkers'!$B:$N,2,0)&lt;=C$8,(VLOOKUP($B18,'1. Invulsheet medewerkers'!$B:$N,12,0)/12)*C$10,0),)</f>
        <v>91.018666666666661</v>
      </c>
      <c r="D18" s="173">
        <f ca="1">IF($B18&gt;0, IF(VLOOKUP($B18,'1. Invulsheet medewerkers'!$B:$N,2,0)&lt;=D$8,(VLOOKUP($B18,'1. Invulsheet medewerkers'!$B:$N,12,0)/12)*D$10,0),)</f>
        <v>78.138666666666666</v>
      </c>
      <c r="E18" s="173">
        <f ca="1">IF($B18&gt;0, IF(VLOOKUP($B18,'1. Invulsheet medewerkers'!$B:$N,2,0)&lt;=E$8,(VLOOKUP($B18,'1. Invulsheet medewerkers'!$B:$N,12,0)/12)*E$10,0),)</f>
        <v>76.421333333333322</v>
      </c>
      <c r="F18" s="173">
        <f ca="1">IF($B18&gt;0, IF(VLOOKUP($B18,'1. Invulsheet medewerkers'!$B:$N,2,0)&lt;=F$8,(VLOOKUP($B18,'1. Invulsheet medewerkers'!$B:$N,12,0)/12)*F$10,0),)</f>
        <v>99.60533333333332</v>
      </c>
      <c r="G18" s="173">
        <f ca="1">IF($B18&gt;0, IF(VLOOKUP($B18,'1. Invulsheet medewerkers'!$B:$N,2,0)&lt;=G$8,(VLOOKUP($B18,'1. Invulsheet medewerkers'!$B:$N,12,0)/12)*G$10,0),)</f>
        <v>92.736000000000004</v>
      </c>
      <c r="H18" s="173">
        <f ca="1">IF($B18&gt;0, IF(VLOOKUP($B18,'1. Invulsheet medewerkers'!$B:$N,2,0)&lt;=H$8,(VLOOKUP($B18,'1. Invulsheet medewerkers'!$B:$N,12,0)/12)*H$10,0),)</f>
        <v>91.018666666666661</v>
      </c>
      <c r="I18" s="173">
        <f ca="1">IF($B18&gt;0, IF(VLOOKUP($B18,'1. Invulsheet medewerkers'!$B:$N,2,0)&lt;=I$8,(VLOOKUP($B18,'1. Invulsheet medewerkers'!$B:$N,12,0)/12)*I$10,0),)</f>
        <v>50.661333333333324</v>
      </c>
      <c r="J18" s="173">
        <f ca="1">IF($B18&gt;0, IF(VLOOKUP($B18,'1. Invulsheet medewerkers'!$B:$N,2,0)&lt;=J$8,(VLOOKUP($B18,'1. Invulsheet medewerkers'!$B:$N,12,0)/12)*J$10,0),)</f>
        <v>72.127999999999986</v>
      </c>
      <c r="K18" s="173">
        <f ca="1">IF($B18&gt;0, IF(VLOOKUP($B18,'1. Invulsheet medewerkers'!$B:$N,2,0)&lt;=K$8,(VLOOKUP($B18,'1. Invulsheet medewerkers'!$B:$N,12,0)/12)*K$10,0),)</f>
        <v>87.583999999999989</v>
      </c>
      <c r="L18" s="173">
        <f ca="1">IF($B18&gt;0, IF(VLOOKUP($B18,'1. Invulsheet medewerkers'!$B:$N,2,0)&lt;=L$8,(VLOOKUP($B18,'1. Invulsheet medewerkers'!$B:$N,12,0)/12)*L$10,0),)</f>
        <v>99.60533333333332</v>
      </c>
      <c r="M18" s="173">
        <f ca="1">IF($B18&gt;0, IF(VLOOKUP($B18,'1. Invulsheet medewerkers'!$B:$N,2,0)&lt;=M$8,(VLOOKUP($B18,'1. Invulsheet medewerkers'!$B:$N,12,0)/12)*M$10,0),)</f>
        <v>95.311999999999998</v>
      </c>
      <c r="N18" s="174">
        <f ca="1">IF($B18&gt;0, IF(VLOOKUP($B18,'1. Invulsheet medewerkers'!$B:$N,2,0)&lt;=N$8,(VLOOKUP($B18,'1. Invulsheet medewerkers'!$B:$N,12,0)/12)*N$10,0),)</f>
        <v>96.170666666666662</v>
      </c>
      <c r="O18" s="168">
        <f t="shared" ca="1" si="2"/>
        <v>1030.4000000000001</v>
      </c>
      <c r="P18" s="31"/>
      <c r="Q18" s="31"/>
      <c r="R18" s="31"/>
      <c r="S18" s="31"/>
      <c r="T18" s="31"/>
      <c r="U18" s="31"/>
      <c r="V18" s="31"/>
      <c r="W18" s="31"/>
      <c r="X18" s="31"/>
    </row>
    <row r="19" spans="1:24" x14ac:dyDescent="0.2">
      <c r="A19" s="30"/>
      <c r="B19" s="169" t="str">
        <f ca="1">IFERROR(__xludf.DUMMYFUNCTION("""COMPUTED_VALUE"""),"Vacature 1")</f>
        <v>Vacature 1</v>
      </c>
      <c r="C19" s="170">
        <f ca="1">IF($B19&gt;0, IF(VLOOKUP($B19,'1. Invulsheet medewerkers'!$B:$N,2,0)&lt;=C$8,(VLOOKUP($B19,'1. Invulsheet medewerkers'!$B:$N,12,0)/12)*C$10,0),)</f>
        <v>0</v>
      </c>
      <c r="D19" s="170">
        <f ca="1">IF($B19&gt;0, IF(VLOOKUP($B19,'1. Invulsheet medewerkers'!$B:$N,2,0)&lt;=D$8,(VLOOKUP($B19,'1. Invulsheet medewerkers'!$B:$N,12,0)/12)*D$10,0),)</f>
        <v>0</v>
      </c>
      <c r="E19" s="170">
        <f ca="1">IF($B19&gt;0, IF(VLOOKUP($B19,'1. Invulsheet medewerkers'!$B:$N,2,0)&lt;=E$8,(VLOOKUP($B19,'1. Invulsheet medewerkers'!$B:$N,12,0)/12)*E$10,0),)</f>
        <v>0</v>
      </c>
      <c r="F19" s="170">
        <f ca="1">IF($B19&gt;0, IF(VLOOKUP($B19,'1. Invulsheet medewerkers'!$B:$N,2,0)&lt;=F$8,(VLOOKUP($B19,'1. Invulsheet medewerkers'!$B:$N,12,0)/12)*F$10,0),)</f>
        <v>106.72</v>
      </c>
      <c r="G19" s="170">
        <f ca="1">IF($B19&gt;0, IF(VLOOKUP($B19,'1. Invulsheet medewerkers'!$B:$N,2,0)&lt;=G$8,(VLOOKUP($B19,'1. Invulsheet medewerkers'!$B:$N,12,0)/12)*G$10,0),)</f>
        <v>99.360000000000014</v>
      </c>
      <c r="H19" s="170">
        <f ca="1">IF($B19&gt;0, IF(VLOOKUP($B19,'1. Invulsheet medewerkers'!$B:$N,2,0)&lt;=H$8,(VLOOKUP($B19,'1. Invulsheet medewerkers'!$B:$N,12,0)/12)*H$10,0),)</f>
        <v>97.52000000000001</v>
      </c>
      <c r="I19" s="170">
        <f ca="1">IF($B19&gt;0, IF(VLOOKUP($B19,'1. Invulsheet medewerkers'!$B:$N,2,0)&lt;=I$8,(VLOOKUP($B19,'1. Invulsheet medewerkers'!$B:$N,12,0)/12)*I$10,0),)</f>
        <v>54.279999999999994</v>
      </c>
      <c r="J19" s="170">
        <f ca="1">IF($B19&gt;0, IF(VLOOKUP($B19,'1. Invulsheet medewerkers'!$B:$N,2,0)&lt;=J$8,(VLOOKUP($B19,'1. Invulsheet medewerkers'!$B:$N,12,0)/12)*J$10,0),)</f>
        <v>77.28</v>
      </c>
      <c r="K19" s="170">
        <f ca="1">IF($B19&gt;0, IF(VLOOKUP($B19,'1. Invulsheet medewerkers'!$B:$N,2,0)&lt;=K$8,(VLOOKUP($B19,'1. Invulsheet medewerkers'!$B:$N,12,0)/12)*K$10,0),)</f>
        <v>93.84</v>
      </c>
      <c r="L19" s="170">
        <f ca="1">IF($B19&gt;0, IF(VLOOKUP($B19,'1. Invulsheet medewerkers'!$B:$N,2,0)&lt;=L$8,(VLOOKUP($B19,'1. Invulsheet medewerkers'!$B:$N,12,0)/12)*L$10,0),)</f>
        <v>106.72</v>
      </c>
      <c r="M19" s="170">
        <f ca="1">IF($B19&gt;0, IF(VLOOKUP($B19,'1. Invulsheet medewerkers'!$B:$N,2,0)&lt;=M$8,(VLOOKUP($B19,'1. Invulsheet medewerkers'!$B:$N,12,0)/12)*M$10,0),)</f>
        <v>102.12</v>
      </c>
      <c r="N19" s="171">
        <f ca="1">IF($B19&gt;0, IF(VLOOKUP($B19,'1. Invulsheet medewerkers'!$B:$N,2,0)&lt;=N$8,(VLOOKUP($B19,'1. Invulsheet medewerkers'!$B:$N,12,0)/12)*N$10,0),)</f>
        <v>103.04</v>
      </c>
      <c r="O19" s="168">
        <f t="shared" ca="1" si="2"/>
        <v>840.88</v>
      </c>
      <c r="P19" s="31"/>
      <c r="Q19" s="31"/>
      <c r="R19" s="31"/>
      <c r="S19" s="31"/>
      <c r="T19" s="31"/>
      <c r="U19" s="31"/>
      <c r="V19" s="31"/>
      <c r="W19" s="31"/>
      <c r="X19" s="31"/>
    </row>
    <row r="20" spans="1:24" x14ac:dyDescent="0.2">
      <c r="A20" s="30"/>
      <c r="B20" s="172" t="str">
        <f ca="1">IFERROR(__xludf.DUMMYFUNCTION("""COMPUTED_VALUE"""),"Vacature 2")</f>
        <v>Vacature 2</v>
      </c>
      <c r="C20" s="173">
        <f ca="1">IF($B20&gt;0, IF(VLOOKUP($B20,'1. Invulsheet medewerkers'!$B:$N,2,0)&lt;=C$8,(VLOOKUP($B20,'1. Invulsheet medewerkers'!$B:$N,12,0)/12)*C$10,0),)</f>
        <v>0</v>
      </c>
      <c r="D20" s="173">
        <f ca="1">IF($B20&gt;0, IF(VLOOKUP($B20,'1. Invulsheet medewerkers'!$B:$N,2,0)&lt;=D$8,(VLOOKUP($B20,'1. Invulsheet medewerkers'!$B:$N,12,0)/12)*D$10,0),)</f>
        <v>0</v>
      </c>
      <c r="E20" s="173">
        <f ca="1">IF($B20&gt;0, IF(VLOOKUP($B20,'1. Invulsheet medewerkers'!$B:$N,2,0)&lt;=E$8,(VLOOKUP($B20,'1. Invulsheet medewerkers'!$B:$N,12,0)/12)*E$10,0),)</f>
        <v>0</v>
      </c>
      <c r="F20" s="173">
        <f ca="1">IF($B20&gt;0, IF(VLOOKUP($B20,'1. Invulsheet medewerkers'!$B:$N,2,0)&lt;=F$8,(VLOOKUP($B20,'1. Invulsheet medewerkers'!$B:$N,12,0)/12)*F$10,0),)</f>
        <v>0</v>
      </c>
      <c r="G20" s="173">
        <f ca="1">IF($B20&gt;0, IF(VLOOKUP($B20,'1. Invulsheet medewerkers'!$B:$N,2,0)&lt;=G$8,(VLOOKUP($B20,'1. Invulsheet medewerkers'!$B:$N,12,0)/12)*G$10,0),)</f>
        <v>149.04000000000002</v>
      </c>
      <c r="H20" s="173">
        <f ca="1">IF($B20&gt;0, IF(VLOOKUP($B20,'1. Invulsheet medewerkers'!$B:$N,2,0)&lt;=H$8,(VLOOKUP($B20,'1. Invulsheet medewerkers'!$B:$N,12,0)/12)*H$10,0),)</f>
        <v>146.28</v>
      </c>
      <c r="I20" s="173">
        <f ca="1">IF($B20&gt;0, IF(VLOOKUP($B20,'1. Invulsheet medewerkers'!$B:$N,2,0)&lt;=I$8,(VLOOKUP($B20,'1. Invulsheet medewerkers'!$B:$N,12,0)/12)*I$10,0),)</f>
        <v>81.42</v>
      </c>
      <c r="J20" s="173">
        <f ca="1">IF($B20&gt;0, IF(VLOOKUP($B20,'1. Invulsheet medewerkers'!$B:$N,2,0)&lt;=J$8,(VLOOKUP($B20,'1. Invulsheet medewerkers'!$B:$N,12,0)/12)*J$10,0),)</f>
        <v>115.92</v>
      </c>
      <c r="K20" s="173">
        <f ca="1">IF($B20&gt;0, IF(VLOOKUP($B20,'1. Invulsheet medewerkers'!$B:$N,2,0)&lt;=K$8,(VLOOKUP($B20,'1. Invulsheet medewerkers'!$B:$N,12,0)/12)*K$10,0),)</f>
        <v>140.76</v>
      </c>
      <c r="L20" s="173">
        <f ca="1">IF($B20&gt;0, IF(VLOOKUP($B20,'1. Invulsheet medewerkers'!$B:$N,2,0)&lt;=L$8,(VLOOKUP($B20,'1. Invulsheet medewerkers'!$B:$N,12,0)/12)*L$10,0),)</f>
        <v>160.07999999999998</v>
      </c>
      <c r="M20" s="173">
        <f ca="1">IF($B20&gt;0, IF(VLOOKUP($B20,'1. Invulsheet medewerkers'!$B:$N,2,0)&lt;=M$8,(VLOOKUP($B20,'1. Invulsheet medewerkers'!$B:$N,12,0)/12)*M$10,0),)</f>
        <v>153.18</v>
      </c>
      <c r="N20" s="174">
        <f ca="1">IF($B20&gt;0, IF(VLOOKUP($B20,'1. Invulsheet medewerkers'!$B:$N,2,0)&lt;=N$8,(VLOOKUP($B20,'1. Invulsheet medewerkers'!$B:$N,12,0)/12)*N$10,0),)</f>
        <v>154.56</v>
      </c>
      <c r="O20" s="168">
        <f t="shared" ca="1" si="2"/>
        <v>1101.24</v>
      </c>
      <c r="P20" s="31"/>
      <c r="Q20" s="31"/>
      <c r="R20" s="31"/>
      <c r="S20" s="31"/>
      <c r="T20" s="31"/>
      <c r="U20" s="31"/>
      <c r="V20" s="31"/>
      <c r="W20" s="31"/>
      <c r="X20" s="31"/>
    </row>
    <row r="21" spans="1:24" x14ac:dyDescent="0.2">
      <c r="A21" s="30"/>
      <c r="B21" s="169" t="str">
        <f ca="1">IFERROR(__xludf.DUMMYFUNCTION("""COMPUTED_VALUE"""),"Medewerker 21")</f>
        <v>Medewerker 21</v>
      </c>
      <c r="C21" s="170">
        <f ca="1">IF($B21&gt;0, IF(VLOOKUP($B21,'1. Invulsheet medewerkers'!$B:$N,2,0)&lt;=C$8,(VLOOKUP($B21,'1. Invulsheet medewerkers'!$B:$N,12,0)/12)*C$10,0),)</f>
        <v>0</v>
      </c>
      <c r="D21" s="170">
        <f ca="1">IF($B21&gt;0, IF(VLOOKUP($B21,'1. Invulsheet medewerkers'!$B:$N,2,0)&lt;=D$8,(VLOOKUP($B21,'1. Invulsheet medewerkers'!$B:$N,12,0)/12)*D$10,0),)</f>
        <v>0</v>
      </c>
      <c r="E21" s="170">
        <f ca="1">IF($B21&gt;0, IF(VLOOKUP($B21,'1. Invulsheet medewerkers'!$B:$N,2,0)&lt;=E$8,(VLOOKUP($B21,'1. Invulsheet medewerkers'!$B:$N,12,0)/12)*E$10,0),)</f>
        <v>0</v>
      </c>
      <c r="F21" s="170">
        <f ca="1">IF($B21&gt;0, IF(VLOOKUP($B21,'1. Invulsheet medewerkers'!$B:$N,2,0)&lt;=F$8,(VLOOKUP($B21,'1. Invulsheet medewerkers'!$B:$N,12,0)/12)*F$10,0),)</f>
        <v>0</v>
      </c>
      <c r="G21" s="170">
        <f ca="1">IF($B21&gt;0, IF(VLOOKUP($B21,'1. Invulsheet medewerkers'!$B:$N,2,0)&lt;=G$8,(VLOOKUP($B21,'1. Invulsheet medewerkers'!$B:$N,12,0)/12)*G$10,0),)</f>
        <v>0</v>
      </c>
      <c r="H21" s="170">
        <f ca="1">IF($B21&gt;0, IF(VLOOKUP($B21,'1. Invulsheet medewerkers'!$B:$N,2,0)&lt;=H$8,(VLOOKUP($B21,'1. Invulsheet medewerkers'!$B:$N,12,0)/12)*H$10,0),)</f>
        <v>0</v>
      </c>
      <c r="I21" s="170">
        <f ca="1">IF($B21&gt;0, IF(VLOOKUP($B21,'1. Invulsheet medewerkers'!$B:$N,2,0)&lt;=I$8,(VLOOKUP($B21,'1. Invulsheet medewerkers'!$B:$N,12,0)/12)*I$10,0),)</f>
        <v>0</v>
      </c>
      <c r="J21" s="170">
        <f ca="1">IF($B21&gt;0, IF(VLOOKUP($B21,'1. Invulsheet medewerkers'!$B:$N,2,0)&lt;=J$8,(VLOOKUP($B21,'1. Invulsheet medewerkers'!$B:$N,12,0)/12)*J$10,0),)</f>
        <v>0</v>
      </c>
      <c r="K21" s="170">
        <f ca="1">IF($B21&gt;0, IF(VLOOKUP($B21,'1. Invulsheet medewerkers'!$B:$N,2,0)&lt;=K$8,(VLOOKUP($B21,'1. Invulsheet medewerkers'!$B:$N,12,0)/12)*K$10,0),)</f>
        <v>0</v>
      </c>
      <c r="L21" s="170">
        <f ca="1">IF($B21&gt;0, IF(VLOOKUP($B21,'1. Invulsheet medewerkers'!$B:$N,2,0)&lt;=L$8,(VLOOKUP($B21,'1. Invulsheet medewerkers'!$B:$N,12,0)/12)*L$10,0),)</f>
        <v>0</v>
      </c>
      <c r="M21" s="170">
        <f ca="1">IF($B21&gt;0, IF(VLOOKUP($B21,'1. Invulsheet medewerkers'!$B:$N,2,0)&lt;=M$8,(VLOOKUP($B21,'1. Invulsheet medewerkers'!$B:$N,12,0)/12)*M$10,0),)</f>
        <v>0</v>
      </c>
      <c r="N21" s="171">
        <f ca="1">IF($B21&gt;0, IF(VLOOKUP($B21,'1. Invulsheet medewerkers'!$B:$N,2,0)&lt;=N$8,(VLOOKUP($B21,'1. Invulsheet medewerkers'!$B:$N,12,0)/12)*N$10,0),)</f>
        <v>0</v>
      </c>
      <c r="O21" s="168">
        <f t="shared" ca="1" si="2"/>
        <v>0</v>
      </c>
      <c r="P21" s="31"/>
      <c r="Q21" s="31"/>
      <c r="R21" s="31"/>
      <c r="S21" s="31"/>
      <c r="T21" s="31"/>
      <c r="U21" s="31"/>
      <c r="V21" s="31"/>
      <c r="W21" s="31"/>
      <c r="X21" s="31"/>
    </row>
    <row r="22" spans="1:24" x14ac:dyDescent="0.2">
      <c r="A22" s="30"/>
      <c r="B22" s="172" t="str">
        <f ca="1">IFERROR(__xludf.DUMMYFUNCTION("""COMPUTED_VALUE"""),"Medewerker 22")</f>
        <v>Medewerker 22</v>
      </c>
      <c r="C22" s="173">
        <f ca="1">IF($B22&gt;0, IF(VLOOKUP($B22,'1. Invulsheet medewerkers'!$B:$N,2,0)&lt;=C$8,(VLOOKUP($B22,'1. Invulsheet medewerkers'!$B:$N,12,0)/12)*C$10,0),)</f>
        <v>0</v>
      </c>
      <c r="D22" s="173">
        <f ca="1">IF($B22&gt;0, IF(VLOOKUP($B22,'1. Invulsheet medewerkers'!$B:$N,2,0)&lt;=D$8,(VLOOKUP($B22,'1. Invulsheet medewerkers'!$B:$N,12,0)/12)*D$10,0),)</f>
        <v>0</v>
      </c>
      <c r="E22" s="173">
        <f ca="1">IF($B22&gt;0, IF(VLOOKUP($B22,'1. Invulsheet medewerkers'!$B:$N,2,0)&lt;=E$8,(VLOOKUP($B22,'1. Invulsheet medewerkers'!$B:$N,12,0)/12)*E$10,0),)</f>
        <v>0</v>
      </c>
      <c r="F22" s="173">
        <f ca="1">IF($B22&gt;0, IF(VLOOKUP($B22,'1. Invulsheet medewerkers'!$B:$N,2,0)&lt;=F$8,(VLOOKUP($B22,'1. Invulsheet medewerkers'!$B:$N,12,0)/12)*F$10,0),)</f>
        <v>0</v>
      </c>
      <c r="G22" s="173">
        <f ca="1">IF($B22&gt;0, IF(VLOOKUP($B22,'1. Invulsheet medewerkers'!$B:$N,2,0)&lt;=G$8,(VLOOKUP($B22,'1. Invulsheet medewerkers'!$B:$N,12,0)/12)*G$10,0),)</f>
        <v>0</v>
      </c>
      <c r="H22" s="173">
        <f ca="1">IF($B22&gt;0, IF(VLOOKUP($B22,'1. Invulsheet medewerkers'!$B:$N,2,0)&lt;=H$8,(VLOOKUP($B22,'1. Invulsheet medewerkers'!$B:$N,12,0)/12)*H$10,0),)</f>
        <v>0</v>
      </c>
      <c r="I22" s="173">
        <f ca="1">IF($B22&gt;0, IF(VLOOKUP($B22,'1. Invulsheet medewerkers'!$B:$N,2,0)&lt;=I$8,(VLOOKUP($B22,'1. Invulsheet medewerkers'!$B:$N,12,0)/12)*I$10,0),)</f>
        <v>0</v>
      </c>
      <c r="J22" s="173">
        <f ca="1">IF($B22&gt;0, IF(VLOOKUP($B22,'1. Invulsheet medewerkers'!$B:$N,2,0)&lt;=J$8,(VLOOKUP($B22,'1. Invulsheet medewerkers'!$B:$N,12,0)/12)*J$10,0),)</f>
        <v>0</v>
      </c>
      <c r="K22" s="173">
        <f ca="1">IF($B22&gt;0, IF(VLOOKUP($B22,'1. Invulsheet medewerkers'!$B:$N,2,0)&lt;=K$8,(VLOOKUP($B22,'1. Invulsheet medewerkers'!$B:$N,12,0)/12)*K$10,0),)</f>
        <v>0</v>
      </c>
      <c r="L22" s="173">
        <f ca="1">IF($B22&gt;0, IF(VLOOKUP($B22,'1. Invulsheet medewerkers'!$B:$N,2,0)&lt;=L$8,(VLOOKUP($B22,'1. Invulsheet medewerkers'!$B:$N,12,0)/12)*L$10,0),)</f>
        <v>0</v>
      </c>
      <c r="M22" s="173">
        <f ca="1">IF($B22&gt;0, IF(VLOOKUP($B22,'1. Invulsheet medewerkers'!$B:$N,2,0)&lt;=M$8,(VLOOKUP($B22,'1. Invulsheet medewerkers'!$B:$N,12,0)/12)*M$10,0),)</f>
        <v>0</v>
      </c>
      <c r="N22" s="174">
        <f ca="1">IF($B22&gt;0, IF(VLOOKUP($B22,'1. Invulsheet medewerkers'!$B:$N,2,0)&lt;=N$8,(VLOOKUP($B22,'1. Invulsheet medewerkers'!$B:$N,12,0)/12)*N$10,0),)</f>
        <v>0</v>
      </c>
      <c r="O22" s="168">
        <f t="shared" ca="1" si="2"/>
        <v>0</v>
      </c>
      <c r="P22" s="31"/>
      <c r="Q22" s="31"/>
      <c r="R22" s="31"/>
      <c r="S22" s="31"/>
      <c r="T22" s="31"/>
      <c r="U22" s="31"/>
      <c r="V22" s="31"/>
      <c r="W22" s="31"/>
      <c r="X22" s="31"/>
    </row>
    <row r="23" spans="1:24" x14ac:dyDescent="0.2">
      <c r="A23" s="30"/>
      <c r="B23" s="175" t="str">
        <f ca="1">IFERROR(__xludf.DUMMYFUNCTION("""COMPUTED_VALUE"""),"Vacature 5")</f>
        <v>Vacature 5</v>
      </c>
      <c r="C23" s="176">
        <f ca="1">IF($B23&gt;0, IF(VLOOKUP($B23,'1. Invulsheet medewerkers'!$B:$N,2,0)&lt;=C$8,(VLOOKUP($B23,'1. Invulsheet medewerkers'!$B:$N,12,0)/12)*C$10,0),)</f>
        <v>0</v>
      </c>
      <c r="D23" s="176">
        <f ca="1">IF($B23&gt;0, IF(VLOOKUP($B23,'1. Invulsheet medewerkers'!$B:$N,2,0)&lt;=D$8,(VLOOKUP($B23,'1. Invulsheet medewerkers'!$B:$N,12,0)/12)*D$10,0),)</f>
        <v>0</v>
      </c>
      <c r="E23" s="176">
        <f ca="1">IF($B23&gt;0, IF(VLOOKUP($B23,'1. Invulsheet medewerkers'!$B:$N,2,0)&lt;=E$8,(VLOOKUP($B23,'1. Invulsheet medewerkers'!$B:$N,12,0)/12)*E$10,0),)</f>
        <v>0</v>
      </c>
      <c r="F23" s="176">
        <f ca="1">IF($B23&gt;0, IF(VLOOKUP($B23,'1. Invulsheet medewerkers'!$B:$N,2,0)&lt;=F$8,(VLOOKUP($B23,'1. Invulsheet medewerkers'!$B:$N,12,0)/12)*F$10,0),)</f>
        <v>0</v>
      </c>
      <c r="G23" s="176">
        <f ca="1">IF($B23&gt;0, IF(VLOOKUP($B23,'1. Invulsheet medewerkers'!$B:$N,2,0)&lt;=G$8,(VLOOKUP($B23,'1. Invulsheet medewerkers'!$B:$N,12,0)/12)*G$10,0),)</f>
        <v>0</v>
      </c>
      <c r="H23" s="176">
        <f ca="1">IF($B23&gt;0, IF(VLOOKUP($B23,'1. Invulsheet medewerkers'!$B:$N,2,0)&lt;=H$8,(VLOOKUP($B23,'1. Invulsheet medewerkers'!$B:$N,12,0)/12)*H$10,0),)</f>
        <v>0</v>
      </c>
      <c r="I23" s="176">
        <f ca="1">IF($B23&gt;0, IF(VLOOKUP($B23,'1. Invulsheet medewerkers'!$B:$N,2,0)&lt;=I$8,(VLOOKUP($B23,'1. Invulsheet medewerkers'!$B:$N,12,0)/12)*I$10,0),)</f>
        <v>0</v>
      </c>
      <c r="J23" s="176">
        <f ca="1">IF($B23&gt;0, IF(VLOOKUP($B23,'1. Invulsheet medewerkers'!$B:$N,2,0)&lt;=J$8,(VLOOKUP($B23,'1. Invulsheet medewerkers'!$B:$N,12,0)/12)*J$10,0),)</f>
        <v>0</v>
      </c>
      <c r="K23" s="176">
        <f ca="1">IF($B23&gt;0, IF(VLOOKUP($B23,'1. Invulsheet medewerkers'!$B:$N,2,0)&lt;=K$8,(VLOOKUP($B23,'1. Invulsheet medewerkers'!$B:$N,12,0)/12)*K$10,0),)</f>
        <v>0</v>
      </c>
      <c r="L23" s="176">
        <f ca="1">IF($B23&gt;0, IF(VLOOKUP($B23,'1. Invulsheet medewerkers'!$B:$N,2,0)&lt;=L$8,(VLOOKUP($B23,'1. Invulsheet medewerkers'!$B:$N,12,0)/12)*L$10,0),)</f>
        <v>0</v>
      </c>
      <c r="M23" s="176">
        <f ca="1">IF($B23&gt;0, IF(VLOOKUP($B23,'1. Invulsheet medewerkers'!$B:$N,2,0)&lt;=M$8,(VLOOKUP($B23,'1. Invulsheet medewerkers'!$B:$N,12,0)/12)*M$10,0),)</f>
        <v>0</v>
      </c>
      <c r="N23" s="177">
        <f ca="1">IF($B23&gt;0, IF(VLOOKUP($B23,'1. Invulsheet medewerkers'!$B:$N,2,0)&lt;=N$8,(VLOOKUP($B23,'1. Invulsheet medewerkers'!$B:$N,12,0)/12)*N$10,0),)</f>
        <v>0</v>
      </c>
      <c r="O23" s="168">
        <f t="shared" ca="1" si="2"/>
        <v>0</v>
      </c>
      <c r="P23" s="31"/>
      <c r="Q23" s="31"/>
      <c r="R23" s="31"/>
      <c r="S23" s="31"/>
      <c r="T23" s="31"/>
      <c r="U23" s="31"/>
      <c r="V23" s="31"/>
      <c r="W23" s="31"/>
      <c r="X23" s="31"/>
    </row>
    <row r="24" spans="1:24" x14ac:dyDescent="0.2">
      <c r="A24" s="142"/>
      <c r="B24" s="178"/>
      <c r="C24" s="179">
        <f>IF($B24&gt;0, IF(VLOOKUP($B24,'1. Invulsheet medewerkers'!$B:$N,2,0)&lt;=C$8,(VLOOKUP($B24,'1. Invulsheet medewerkers'!$B:$N,13,0)/12)*C$10,0),)</f>
        <v>0</v>
      </c>
      <c r="D24" s="179">
        <f>IF($B24&gt;0, IF(VLOOKUP($B24,'1. Invulsheet medewerkers'!$B:$N,2,0)&lt;=D$8,(VLOOKUP($B24,'1. Invulsheet medewerkers'!$B:$N,13,0)/12)*D$10,0),)</f>
        <v>0</v>
      </c>
      <c r="E24" s="179">
        <f>IF($B24&gt;0, IF(VLOOKUP($B24,'1. Invulsheet medewerkers'!$B:$N,2,0)&lt;=E$8,(VLOOKUP($B24,'1. Invulsheet medewerkers'!$B:$N,13,0)/12)*E$10,0),)</f>
        <v>0</v>
      </c>
      <c r="F24" s="179">
        <f>IF($B24&gt;0, IF(VLOOKUP($B24,'1. Invulsheet medewerkers'!$B:$N,2,0)&lt;=F$8,(VLOOKUP($B24,'1. Invulsheet medewerkers'!$B:$N,13,0)/12)*F$10,0),)</f>
        <v>0</v>
      </c>
      <c r="G24" s="179">
        <f>IF($B24&gt;0, IF(VLOOKUP($B24,'1. Invulsheet medewerkers'!$B:$N,2,0)&lt;=G$8,(VLOOKUP($B24,'1. Invulsheet medewerkers'!$B:$N,13,0)/12)*G$10,0),)</f>
        <v>0</v>
      </c>
      <c r="H24" s="179">
        <f>IF($B24&gt;0, IF(VLOOKUP($B24,'1. Invulsheet medewerkers'!$B:$N,2,0)&lt;=H$8,(VLOOKUP($B24,'1. Invulsheet medewerkers'!$B:$N,13,0)/12)*H$10,0),)</f>
        <v>0</v>
      </c>
      <c r="I24" s="179">
        <f>IF($B24&gt;0, IF(VLOOKUP($B24,'1. Invulsheet medewerkers'!$B:$N,2,0)&lt;=I$8,(VLOOKUP($B24,'1. Invulsheet medewerkers'!$B:$N,13,0)/12)*I$10,0),)</f>
        <v>0</v>
      </c>
      <c r="J24" s="179">
        <f>IF($B24&gt;0, IF(VLOOKUP($B24,'1. Invulsheet medewerkers'!$B:$N,2,0)&lt;=J$8,(VLOOKUP($B24,'1. Invulsheet medewerkers'!$B:$N,13,0)/12)*J$10,0),)</f>
        <v>0</v>
      </c>
      <c r="K24" s="179">
        <f>IF($B24&gt;0, IF(VLOOKUP($B24,'1. Invulsheet medewerkers'!$B:$N,2,0)&lt;=K$8,(VLOOKUP($B24,'1. Invulsheet medewerkers'!$B:$N,13,0)/12)*K$10,0),)</f>
        <v>0</v>
      </c>
      <c r="L24" s="179">
        <f>IF($B24&gt;0, IF(VLOOKUP($B24,'1. Invulsheet medewerkers'!$B:$N,2,0)&lt;=L$8,(VLOOKUP($B24,'1. Invulsheet medewerkers'!$B:$N,13,0)/12)*L$10,0),)</f>
        <v>0</v>
      </c>
      <c r="M24" s="179">
        <f>IF($B24&gt;0, IF(VLOOKUP($B24,'1. Invulsheet medewerkers'!$B:$N,2,0)&lt;=M$8,(VLOOKUP($B24,'1. Invulsheet medewerkers'!$B:$N,13,0)/12)*M$10,0),)</f>
        <v>0</v>
      </c>
      <c r="N24" s="180">
        <f>IF($B24&gt;0, IF(VLOOKUP($B24,'1. Invulsheet medewerkers'!$B:$N,2,0)&lt;=N$8,(VLOOKUP($B24,'1. Invulsheet medewerkers'!$B:$N,13,0)/12)*N$10,0),)</f>
        <v>0</v>
      </c>
      <c r="O24" s="168" t="str">
        <f t="shared" si="2"/>
        <v/>
      </c>
      <c r="P24" s="31"/>
      <c r="Q24" s="31"/>
      <c r="R24" s="31"/>
      <c r="S24" s="31"/>
      <c r="T24" s="31"/>
      <c r="U24" s="31"/>
      <c r="V24" s="31"/>
      <c r="W24" s="31"/>
      <c r="X24" s="31"/>
    </row>
    <row r="25" spans="1:24" x14ac:dyDescent="0.2">
      <c r="A25" s="142"/>
      <c r="B25" s="181"/>
      <c r="C25" s="182">
        <f>IF($B25&gt;0, IF(VLOOKUP($B25,'1. Invulsheet medewerkers'!$B:$N,2,0)&lt;=C$8,(VLOOKUP($B25,'1. Invulsheet medewerkers'!$B:$N,13,0)/12)*C$10,0),)</f>
        <v>0</v>
      </c>
      <c r="D25" s="182">
        <f>IF($B25&gt;0, IF(VLOOKUP($B25,'1. Invulsheet medewerkers'!$B:$N,2,0)&lt;=D$8,(VLOOKUP($B25,'1. Invulsheet medewerkers'!$B:$N,13,0)/12)*D$10,0),)</f>
        <v>0</v>
      </c>
      <c r="E25" s="182">
        <f>IF($B25&gt;0, IF(VLOOKUP($B25,'1. Invulsheet medewerkers'!$B:$N,2,0)&lt;=E$8,(VLOOKUP($B25,'1. Invulsheet medewerkers'!$B:$N,13,0)/12)*E$10,0),)</f>
        <v>0</v>
      </c>
      <c r="F25" s="182">
        <f>IF($B25&gt;0, IF(VLOOKUP($B25,'1. Invulsheet medewerkers'!$B:$N,2,0)&lt;=F$8,(VLOOKUP($B25,'1. Invulsheet medewerkers'!$B:$N,13,0)/12)*F$10,0),)</f>
        <v>0</v>
      </c>
      <c r="G25" s="182">
        <f>IF($B25&gt;0, IF(VLOOKUP($B25,'1. Invulsheet medewerkers'!$B:$N,2,0)&lt;=G$8,(VLOOKUP($B25,'1. Invulsheet medewerkers'!$B:$N,13,0)/12)*G$10,0),)</f>
        <v>0</v>
      </c>
      <c r="H25" s="182">
        <f>IF($B25&gt;0, IF(VLOOKUP($B25,'1. Invulsheet medewerkers'!$B:$N,2,0)&lt;=H$8,(VLOOKUP($B25,'1. Invulsheet medewerkers'!$B:$N,13,0)/12)*H$10,0),)</f>
        <v>0</v>
      </c>
      <c r="I25" s="182">
        <f>IF($B25&gt;0, IF(VLOOKUP($B25,'1. Invulsheet medewerkers'!$B:$N,2,0)&lt;=I$8,(VLOOKUP($B25,'1. Invulsheet medewerkers'!$B:$N,13,0)/12)*I$10,0),)</f>
        <v>0</v>
      </c>
      <c r="J25" s="182">
        <f>IF($B25&gt;0, IF(VLOOKUP($B25,'1. Invulsheet medewerkers'!$B:$N,2,0)&lt;=J$8,(VLOOKUP($B25,'1. Invulsheet medewerkers'!$B:$N,13,0)/12)*J$10,0),)</f>
        <v>0</v>
      </c>
      <c r="K25" s="182">
        <f>IF($B25&gt;0, IF(VLOOKUP($B25,'1. Invulsheet medewerkers'!$B:$N,2,0)&lt;=K$8,(VLOOKUP($B25,'1. Invulsheet medewerkers'!$B:$N,13,0)/12)*K$10,0),)</f>
        <v>0</v>
      </c>
      <c r="L25" s="182">
        <f>IF($B25&gt;0, IF(VLOOKUP($B25,'1. Invulsheet medewerkers'!$B:$N,2,0)&lt;=L$8,(VLOOKUP($B25,'1. Invulsheet medewerkers'!$B:$N,13,0)/12)*L$10,0),)</f>
        <v>0</v>
      </c>
      <c r="M25" s="182">
        <f>IF($B25&gt;0, IF(VLOOKUP($B25,'1. Invulsheet medewerkers'!$B:$N,2,0)&lt;=M$8,(VLOOKUP($B25,'1. Invulsheet medewerkers'!$B:$N,13,0)/12)*M$10,0),)</f>
        <v>0</v>
      </c>
      <c r="N25" s="182">
        <f>IF($B25&gt;0, IF(VLOOKUP($B25,'1. Invulsheet medewerkers'!$B:$N,2,0)&lt;=N$8,(VLOOKUP($B25,'1. Invulsheet medewerkers'!$B:$N,13,0)/12)*N$10,0),)</f>
        <v>0</v>
      </c>
      <c r="O25" s="168" t="str">
        <f t="shared" si="2"/>
        <v/>
      </c>
      <c r="P25" s="236"/>
      <c r="Q25" s="236"/>
      <c r="R25" s="236"/>
      <c r="S25" s="236"/>
      <c r="T25" s="236"/>
      <c r="U25" s="236"/>
      <c r="V25" s="236"/>
      <c r="W25" s="236"/>
      <c r="X25" s="236"/>
    </row>
    <row r="26" spans="1:24" x14ac:dyDescent="0.2">
      <c r="A26" s="30"/>
      <c r="B26" s="178"/>
      <c r="C26" s="179">
        <f>IF($B26&gt;0, IF(VLOOKUP($B26,'1. Invulsheet medewerkers'!$B:$N,2,0)&lt;=C$8,(VLOOKUP($B26,'1. Invulsheet medewerkers'!$B:$N,13,0)/12)*C$10,0),)</f>
        <v>0</v>
      </c>
      <c r="D26" s="179">
        <f>IF($B26&gt;0, IF(VLOOKUP($B26,'1. Invulsheet medewerkers'!$B:$N,2,0)&lt;=D$8,(VLOOKUP($B26,'1. Invulsheet medewerkers'!$B:$N,13,0)/12)*D$10,0),)</f>
        <v>0</v>
      </c>
      <c r="E26" s="179">
        <f>IF($B26&gt;0, IF(VLOOKUP($B26,'1. Invulsheet medewerkers'!$B:$N,2,0)&lt;=E$8,(VLOOKUP($B26,'1. Invulsheet medewerkers'!$B:$N,13,0)/12)*E$10,0),)</f>
        <v>0</v>
      </c>
      <c r="F26" s="179">
        <f>IF($B26&gt;0, IF(VLOOKUP($B26,'1. Invulsheet medewerkers'!$B:$N,2,0)&lt;=F$8,(VLOOKUP($B26,'1. Invulsheet medewerkers'!$B:$N,13,0)/12)*F$10,0),)</f>
        <v>0</v>
      </c>
      <c r="G26" s="179">
        <f>IF($B26&gt;0, IF(VLOOKUP($B26,'1. Invulsheet medewerkers'!$B:$N,2,0)&lt;=G$8,(VLOOKUP($B26,'1. Invulsheet medewerkers'!$B:$N,13,0)/12)*G$10,0),)</f>
        <v>0</v>
      </c>
      <c r="H26" s="179">
        <f>IF($B26&gt;0, IF(VLOOKUP($B26,'1. Invulsheet medewerkers'!$B:$N,2,0)&lt;=H$8,(VLOOKUP($B26,'1. Invulsheet medewerkers'!$B:$N,13,0)/12)*H$10,0),)</f>
        <v>0</v>
      </c>
      <c r="I26" s="179">
        <f>IF($B26&gt;0, IF(VLOOKUP($B26,'1. Invulsheet medewerkers'!$B:$N,2,0)&lt;=I$8,(VLOOKUP($B26,'1. Invulsheet medewerkers'!$B:$N,13,0)/12)*I$10,0),)</f>
        <v>0</v>
      </c>
      <c r="J26" s="179">
        <f>IF($B26&gt;0, IF(VLOOKUP($B26,'1. Invulsheet medewerkers'!$B:$N,2,0)&lt;=J$8,(VLOOKUP($B26,'1. Invulsheet medewerkers'!$B:$N,13,0)/12)*J$10,0),)</f>
        <v>0</v>
      </c>
      <c r="K26" s="179">
        <f>IF($B26&gt;0, IF(VLOOKUP($B26,'1. Invulsheet medewerkers'!$B:$N,2,0)&lt;=K$8,(VLOOKUP($B26,'1. Invulsheet medewerkers'!$B:$N,13,0)/12)*K$10,0),)</f>
        <v>0</v>
      </c>
      <c r="L26" s="179">
        <f>IF($B26&gt;0, IF(VLOOKUP($B26,'1. Invulsheet medewerkers'!$B:$N,2,0)&lt;=L$8,(VLOOKUP($B26,'1. Invulsheet medewerkers'!$B:$N,13,0)/12)*L$10,0),)</f>
        <v>0</v>
      </c>
      <c r="M26" s="179">
        <f>IF($B26&gt;0, IF(VLOOKUP($B26,'1. Invulsheet medewerkers'!$B:$N,2,0)&lt;=M$8,(VLOOKUP($B26,'1. Invulsheet medewerkers'!$B:$N,13,0)/12)*M$10,0),)</f>
        <v>0</v>
      </c>
      <c r="N26" s="180">
        <f>IF($B26&gt;0, IF(VLOOKUP($B26,'1. Invulsheet medewerkers'!$B:$N,2,0)&lt;=N$8,(VLOOKUP($B26,'1. Invulsheet medewerkers'!$B:$N,13,0)/12)*N$10,0),)</f>
        <v>0</v>
      </c>
      <c r="O26" s="168" t="str">
        <f t="shared" si="2"/>
        <v/>
      </c>
      <c r="P26" s="236"/>
      <c r="Q26" s="236"/>
      <c r="R26" s="236"/>
      <c r="S26" s="236"/>
      <c r="T26" s="236"/>
      <c r="U26" s="236"/>
      <c r="V26" s="236"/>
      <c r="W26" s="236"/>
      <c r="X26" s="236"/>
    </row>
    <row r="27" spans="1:24" x14ac:dyDescent="0.2">
      <c r="A27" s="30"/>
      <c r="B27" s="181"/>
      <c r="C27" s="182">
        <f>IF($B27&gt;0, IF(VLOOKUP($B27,'1. Invulsheet medewerkers'!$B:$N,2,0)&lt;=C$8,(VLOOKUP($B27,'1. Invulsheet medewerkers'!$B:$N,13,0)/12)*C$10,0),)</f>
        <v>0</v>
      </c>
      <c r="D27" s="182">
        <f>IF($B27&gt;0, IF(VLOOKUP($B27,'1. Invulsheet medewerkers'!$B:$N,2,0)&lt;=D$8,(VLOOKUP($B27,'1. Invulsheet medewerkers'!$B:$N,13,0)/12)*D$10,0),)</f>
        <v>0</v>
      </c>
      <c r="E27" s="182">
        <f>IF($B27&gt;0, IF(VLOOKUP($B27,'1. Invulsheet medewerkers'!$B:$N,2,0)&lt;=E$8,(VLOOKUP($B27,'1. Invulsheet medewerkers'!$B:$N,13,0)/12)*E$10,0),)</f>
        <v>0</v>
      </c>
      <c r="F27" s="182">
        <f>IF($B27&gt;0, IF(VLOOKUP($B27,'1. Invulsheet medewerkers'!$B:$N,2,0)&lt;=F$8,(VLOOKUP($B27,'1. Invulsheet medewerkers'!$B:$N,13,0)/12)*F$10,0),)</f>
        <v>0</v>
      </c>
      <c r="G27" s="182">
        <f>IF($B27&gt;0, IF(VLOOKUP($B27,'1. Invulsheet medewerkers'!$B:$N,2,0)&lt;=G$8,(VLOOKUP($B27,'1. Invulsheet medewerkers'!$B:$N,13,0)/12)*G$10,0),)</f>
        <v>0</v>
      </c>
      <c r="H27" s="182">
        <f>IF($B27&gt;0, IF(VLOOKUP($B27,'1. Invulsheet medewerkers'!$B:$N,2,0)&lt;=H$8,(VLOOKUP($B27,'1. Invulsheet medewerkers'!$B:$N,13,0)/12)*H$10,0),)</f>
        <v>0</v>
      </c>
      <c r="I27" s="182">
        <f>IF($B27&gt;0, IF(VLOOKUP($B27,'1. Invulsheet medewerkers'!$B:$N,2,0)&lt;=I$8,(VLOOKUP($B27,'1. Invulsheet medewerkers'!$B:$N,13,0)/12)*I$10,0),)</f>
        <v>0</v>
      </c>
      <c r="J27" s="182">
        <f>IF($B27&gt;0, IF(VLOOKUP($B27,'1. Invulsheet medewerkers'!$B:$N,2,0)&lt;=J$8,(VLOOKUP($B27,'1. Invulsheet medewerkers'!$B:$N,13,0)/12)*J$10,0),)</f>
        <v>0</v>
      </c>
      <c r="K27" s="182">
        <f>IF($B27&gt;0, IF(VLOOKUP($B27,'1. Invulsheet medewerkers'!$B:$N,2,0)&lt;=K$8,(VLOOKUP($B27,'1. Invulsheet medewerkers'!$B:$N,13,0)/12)*K$10,0),)</f>
        <v>0</v>
      </c>
      <c r="L27" s="182">
        <f>IF($B27&gt;0, IF(VLOOKUP($B27,'1. Invulsheet medewerkers'!$B:$N,2,0)&lt;=L$8,(VLOOKUP($B27,'1. Invulsheet medewerkers'!$B:$N,13,0)/12)*L$10,0),)</f>
        <v>0</v>
      </c>
      <c r="M27" s="182">
        <f>IF($B27&gt;0, IF(VLOOKUP($B27,'1. Invulsheet medewerkers'!$B:$N,2,0)&lt;=M$8,(VLOOKUP($B27,'1. Invulsheet medewerkers'!$B:$N,13,0)/12)*M$10,0),)</f>
        <v>0</v>
      </c>
      <c r="N27" s="182">
        <f>IF($B27&gt;0, IF(VLOOKUP($B27,'1. Invulsheet medewerkers'!$B:$N,2,0)&lt;=N$8,(VLOOKUP($B27,'1. Invulsheet medewerkers'!$B:$N,13,0)/12)*N$10,0),)</f>
        <v>0</v>
      </c>
      <c r="O27" s="168" t="str">
        <f t="shared" si="2"/>
        <v/>
      </c>
      <c r="P27" s="236"/>
      <c r="Q27" s="236"/>
      <c r="R27" s="236"/>
      <c r="S27" s="236"/>
      <c r="T27" s="236"/>
      <c r="U27" s="236"/>
      <c r="V27" s="236"/>
      <c r="W27" s="236"/>
      <c r="X27" s="236"/>
    </row>
    <row r="28" spans="1:24" x14ac:dyDescent="0.2">
      <c r="A28" s="30"/>
      <c r="B28" s="178"/>
      <c r="C28" s="179">
        <f>IF($B28&gt;0, IF(VLOOKUP($B28,'1. Invulsheet medewerkers'!$B:$N,2,0)&lt;=C$8,(VLOOKUP($B28,'1. Invulsheet medewerkers'!$B:$N,13,0)/12)*C$10,0),)</f>
        <v>0</v>
      </c>
      <c r="D28" s="179">
        <f>IF($B28&gt;0, IF(VLOOKUP($B28,'1. Invulsheet medewerkers'!$B:$N,2,0)&lt;=D$8,(VLOOKUP($B28,'1. Invulsheet medewerkers'!$B:$N,13,0)/12)*D$10,0),)</f>
        <v>0</v>
      </c>
      <c r="E28" s="179">
        <f>IF($B28&gt;0, IF(VLOOKUP($B28,'1. Invulsheet medewerkers'!$B:$N,2,0)&lt;=E$8,(VLOOKUP($B28,'1. Invulsheet medewerkers'!$B:$N,13,0)/12)*E$10,0),)</f>
        <v>0</v>
      </c>
      <c r="F28" s="179">
        <f>IF($B28&gt;0, IF(VLOOKUP($B28,'1. Invulsheet medewerkers'!$B:$N,2,0)&lt;=F$8,(VLOOKUP($B28,'1. Invulsheet medewerkers'!$B:$N,13,0)/12)*F$10,0),)</f>
        <v>0</v>
      </c>
      <c r="G28" s="179">
        <f>IF($B28&gt;0, IF(VLOOKUP($B28,'1. Invulsheet medewerkers'!$B:$N,2,0)&lt;=G$8,(VLOOKUP($B28,'1. Invulsheet medewerkers'!$B:$N,13,0)/12)*G$10,0),)</f>
        <v>0</v>
      </c>
      <c r="H28" s="179">
        <f>IF($B28&gt;0, IF(VLOOKUP($B28,'1. Invulsheet medewerkers'!$B:$N,2,0)&lt;=H$8,(VLOOKUP($B28,'1. Invulsheet medewerkers'!$B:$N,13,0)/12)*H$10,0),)</f>
        <v>0</v>
      </c>
      <c r="I28" s="179">
        <f>IF($B28&gt;0, IF(VLOOKUP($B28,'1. Invulsheet medewerkers'!$B:$N,2,0)&lt;=I$8,(VLOOKUP($B28,'1. Invulsheet medewerkers'!$B:$N,13,0)/12)*I$10,0),)</f>
        <v>0</v>
      </c>
      <c r="J28" s="179">
        <f>IF($B28&gt;0, IF(VLOOKUP($B28,'1. Invulsheet medewerkers'!$B:$N,2,0)&lt;=J$8,(VLOOKUP($B28,'1. Invulsheet medewerkers'!$B:$N,13,0)/12)*J$10,0),)</f>
        <v>0</v>
      </c>
      <c r="K28" s="179">
        <f>IF($B28&gt;0, IF(VLOOKUP($B28,'1. Invulsheet medewerkers'!$B:$N,2,0)&lt;=K$8,(VLOOKUP($B28,'1. Invulsheet medewerkers'!$B:$N,13,0)/12)*K$10,0),)</f>
        <v>0</v>
      </c>
      <c r="L28" s="179">
        <f>IF($B28&gt;0, IF(VLOOKUP($B28,'1. Invulsheet medewerkers'!$B:$N,2,0)&lt;=L$8,(VLOOKUP($B28,'1. Invulsheet medewerkers'!$B:$N,13,0)/12)*L$10,0),)</f>
        <v>0</v>
      </c>
      <c r="M28" s="179">
        <f>IF($B28&gt;0, IF(VLOOKUP($B28,'1. Invulsheet medewerkers'!$B:$N,2,0)&lt;=M$8,(VLOOKUP($B28,'1. Invulsheet medewerkers'!$B:$N,13,0)/12)*M$10,0),)</f>
        <v>0</v>
      </c>
      <c r="N28" s="180">
        <f>IF($B28&gt;0, IF(VLOOKUP($B28,'1. Invulsheet medewerkers'!$B:$N,2,0)&lt;=N$8,(VLOOKUP($B28,'1. Invulsheet medewerkers'!$B:$N,13,0)/12)*N$10,0),)</f>
        <v>0</v>
      </c>
      <c r="O28" s="168" t="str">
        <f t="shared" si="2"/>
        <v/>
      </c>
      <c r="P28" s="236"/>
      <c r="Q28" s="236"/>
      <c r="R28" s="236"/>
      <c r="S28" s="236"/>
      <c r="T28" s="236"/>
      <c r="U28" s="236"/>
      <c r="V28" s="236"/>
      <c r="W28" s="236"/>
      <c r="X28" s="236"/>
    </row>
    <row r="29" spans="1:24" x14ac:dyDescent="0.2">
      <c r="A29" s="30"/>
      <c r="B29" s="181"/>
      <c r="C29" s="182">
        <f>IF($B29&gt;0, IF(VLOOKUP($B29,'1. Invulsheet medewerkers'!$B:$N,2,0)&lt;=C$8,(VLOOKUP($B29,'1. Invulsheet medewerkers'!$B:$N,13,0)/12)*C$10,0),)</f>
        <v>0</v>
      </c>
      <c r="D29" s="182">
        <f>IF($B29&gt;0, IF(VLOOKUP($B29,'1. Invulsheet medewerkers'!$B:$N,2,0)&lt;=D$8,(VLOOKUP($B29,'1. Invulsheet medewerkers'!$B:$N,13,0)/12)*D$10,0),)</f>
        <v>0</v>
      </c>
      <c r="E29" s="182">
        <f>IF($B29&gt;0, IF(VLOOKUP($B29,'1. Invulsheet medewerkers'!$B:$N,2,0)&lt;=E$8,(VLOOKUP($B29,'1. Invulsheet medewerkers'!$B:$N,13,0)/12)*E$10,0),)</f>
        <v>0</v>
      </c>
      <c r="F29" s="182">
        <f>IF($B29&gt;0, IF(VLOOKUP($B29,'1. Invulsheet medewerkers'!$B:$N,2,0)&lt;=F$8,(VLOOKUP($B29,'1. Invulsheet medewerkers'!$B:$N,13,0)/12)*F$10,0),)</f>
        <v>0</v>
      </c>
      <c r="G29" s="182">
        <f>IF($B29&gt;0, IF(VLOOKUP($B29,'1. Invulsheet medewerkers'!$B:$N,2,0)&lt;=G$8,(VLOOKUP($B29,'1. Invulsheet medewerkers'!$B:$N,13,0)/12)*G$10,0),)</f>
        <v>0</v>
      </c>
      <c r="H29" s="182">
        <f>IF($B29&gt;0, IF(VLOOKUP($B29,'1. Invulsheet medewerkers'!$B:$N,2,0)&lt;=H$8,(VLOOKUP($B29,'1. Invulsheet medewerkers'!$B:$N,13,0)/12)*H$10,0),)</f>
        <v>0</v>
      </c>
      <c r="I29" s="182">
        <f>IF($B29&gt;0, IF(VLOOKUP($B29,'1. Invulsheet medewerkers'!$B:$N,2,0)&lt;=I$8,(VLOOKUP($B29,'1. Invulsheet medewerkers'!$B:$N,13,0)/12)*I$10,0),)</f>
        <v>0</v>
      </c>
      <c r="J29" s="182">
        <f>IF($B29&gt;0, IF(VLOOKUP($B29,'1. Invulsheet medewerkers'!$B:$N,2,0)&lt;=J$8,(VLOOKUP($B29,'1. Invulsheet medewerkers'!$B:$N,13,0)/12)*J$10,0),)</f>
        <v>0</v>
      </c>
      <c r="K29" s="182">
        <f>IF($B29&gt;0, IF(VLOOKUP($B29,'1. Invulsheet medewerkers'!$B:$N,2,0)&lt;=K$8,(VLOOKUP($B29,'1. Invulsheet medewerkers'!$B:$N,13,0)/12)*K$10,0),)</f>
        <v>0</v>
      </c>
      <c r="L29" s="182">
        <f>IF($B29&gt;0, IF(VLOOKUP($B29,'1. Invulsheet medewerkers'!$B:$N,2,0)&lt;=L$8,(VLOOKUP($B29,'1. Invulsheet medewerkers'!$B:$N,13,0)/12)*L$10,0),)</f>
        <v>0</v>
      </c>
      <c r="M29" s="182">
        <f>IF($B29&gt;0, IF(VLOOKUP($B29,'1. Invulsheet medewerkers'!$B:$N,2,0)&lt;=M$8,(VLOOKUP($B29,'1. Invulsheet medewerkers'!$B:$N,13,0)/12)*M$10,0),)</f>
        <v>0</v>
      </c>
      <c r="N29" s="182">
        <f>IF($B29&gt;0, IF(VLOOKUP($B29,'1. Invulsheet medewerkers'!$B:$N,2,0)&lt;=N$8,(VLOOKUP($B29,'1. Invulsheet medewerkers'!$B:$N,13,0)/12)*N$10,0),)</f>
        <v>0</v>
      </c>
      <c r="O29" s="168" t="str">
        <f t="shared" si="2"/>
        <v/>
      </c>
      <c r="P29" s="236"/>
      <c r="Q29" s="236"/>
      <c r="R29" s="236"/>
      <c r="S29" s="236"/>
      <c r="T29" s="236"/>
      <c r="U29" s="236"/>
      <c r="V29" s="236"/>
      <c r="W29" s="236"/>
      <c r="X29" s="236"/>
    </row>
    <row r="30" spans="1:24" x14ac:dyDescent="0.2">
      <c r="A30" s="30"/>
      <c r="B30" s="178"/>
      <c r="C30" s="179">
        <f>IF($B30&gt;0, IF(VLOOKUP($B30,'1. Invulsheet medewerkers'!$B:$N,2,0)&lt;=C$8,(VLOOKUP($B30,'1. Invulsheet medewerkers'!$B:$N,13,0)/12)*C$10,0),)</f>
        <v>0</v>
      </c>
      <c r="D30" s="179">
        <f>IF($B30&gt;0, IF(VLOOKUP($B30,'1. Invulsheet medewerkers'!$B:$N,2,0)&lt;=D$8,(VLOOKUP($B30,'1. Invulsheet medewerkers'!$B:$N,13,0)/12)*D$10,0),)</f>
        <v>0</v>
      </c>
      <c r="E30" s="179">
        <f>IF($B30&gt;0, IF(VLOOKUP($B30,'1. Invulsheet medewerkers'!$B:$N,2,0)&lt;=E$8,(VLOOKUP($B30,'1. Invulsheet medewerkers'!$B:$N,13,0)/12)*E$10,0),)</f>
        <v>0</v>
      </c>
      <c r="F30" s="179">
        <f>IF($B30&gt;0, IF(VLOOKUP($B30,'1. Invulsheet medewerkers'!$B:$N,2,0)&lt;=F$8,(VLOOKUP($B30,'1. Invulsheet medewerkers'!$B:$N,13,0)/12)*F$10,0),)</f>
        <v>0</v>
      </c>
      <c r="G30" s="179">
        <f>IF($B30&gt;0, IF(VLOOKUP($B30,'1. Invulsheet medewerkers'!$B:$N,2,0)&lt;=G$8,(VLOOKUP($B30,'1. Invulsheet medewerkers'!$B:$N,13,0)/12)*G$10,0),)</f>
        <v>0</v>
      </c>
      <c r="H30" s="179">
        <f>IF($B30&gt;0, IF(VLOOKUP($B30,'1. Invulsheet medewerkers'!$B:$N,2,0)&lt;=H$8,(VLOOKUP($B30,'1. Invulsheet medewerkers'!$B:$N,13,0)/12)*H$10,0),)</f>
        <v>0</v>
      </c>
      <c r="I30" s="179">
        <f>IF($B30&gt;0, IF(VLOOKUP($B30,'1. Invulsheet medewerkers'!$B:$N,2,0)&lt;=I$8,(VLOOKUP($B30,'1. Invulsheet medewerkers'!$B:$N,13,0)/12)*I$10,0),)</f>
        <v>0</v>
      </c>
      <c r="J30" s="179">
        <f>IF($B30&gt;0, IF(VLOOKUP($B30,'1. Invulsheet medewerkers'!$B:$N,2,0)&lt;=J$8,(VLOOKUP($B30,'1. Invulsheet medewerkers'!$B:$N,13,0)/12)*J$10,0),)</f>
        <v>0</v>
      </c>
      <c r="K30" s="179">
        <f>IF($B30&gt;0, IF(VLOOKUP($B30,'1. Invulsheet medewerkers'!$B:$N,2,0)&lt;=K$8,(VLOOKUP($B30,'1. Invulsheet medewerkers'!$B:$N,13,0)/12)*K$10,0),)</f>
        <v>0</v>
      </c>
      <c r="L30" s="179">
        <f>IF($B30&gt;0, IF(VLOOKUP($B30,'1. Invulsheet medewerkers'!$B:$N,2,0)&lt;=L$8,(VLOOKUP($B30,'1. Invulsheet medewerkers'!$B:$N,13,0)/12)*L$10,0),)</f>
        <v>0</v>
      </c>
      <c r="M30" s="179">
        <f>IF($B30&gt;0, IF(VLOOKUP($B30,'1. Invulsheet medewerkers'!$B:$N,2,0)&lt;=M$8,(VLOOKUP($B30,'1. Invulsheet medewerkers'!$B:$N,13,0)/12)*M$10,0),)</f>
        <v>0</v>
      </c>
      <c r="N30" s="180">
        <f>IF($B30&gt;0, IF(VLOOKUP($B30,'1. Invulsheet medewerkers'!$B:$N,2,0)&lt;=N$8,(VLOOKUP($B30,'1. Invulsheet medewerkers'!$B:$N,13,0)/12)*N$10,0),)</f>
        <v>0</v>
      </c>
      <c r="O30" s="168" t="str">
        <f t="shared" si="2"/>
        <v/>
      </c>
      <c r="P30" s="236"/>
      <c r="Q30" s="236"/>
      <c r="R30" s="236"/>
      <c r="S30" s="236"/>
      <c r="T30" s="236"/>
      <c r="U30" s="236"/>
      <c r="V30" s="236"/>
      <c r="W30" s="236"/>
      <c r="X30" s="236"/>
    </row>
    <row r="31" spans="1:24" x14ac:dyDescent="0.2">
      <c r="A31" s="30"/>
      <c r="B31" s="181"/>
      <c r="C31" s="182">
        <f>IF($B31&gt;0, IF(VLOOKUP($B31,'1. Invulsheet medewerkers'!$B:$N,2,0)&lt;=C$8,(VLOOKUP($B31,'1. Invulsheet medewerkers'!$B:$N,13,0)/12)*C$10,0),)</f>
        <v>0</v>
      </c>
      <c r="D31" s="182">
        <f>IF($B31&gt;0, IF(VLOOKUP($B31,'1. Invulsheet medewerkers'!$B:$N,2,0)&lt;=D$8,(VLOOKUP($B31,'1. Invulsheet medewerkers'!$B:$N,13,0)/12)*D$10,0),)</f>
        <v>0</v>
      </c>
      <c r="E31" s="182">
        <f>IF($B31&gt;0, IF(VLOOKUP($B31,'1. Invulsheet medewerkers'!$B:$N,2,0)&lt;=E$8,(VLOOKUP($B31,'1. Invulsheet medewerkers'!$B:$N,13,0)/12)*E$10,0),)</f>
        <v>0</v>
      </c>
      <c r="F31" s="182">
        <f>IF($B31&gt;0, IF(VLOOKUP($B31,'1. Invulsheet medewerkers'!$B:$N,2,0)&lt;=F$8,(VLOOKUP($B31,'1. Invulsheet medewerkers'!$B:$N,13,0)/12)*F$10,0),)</f>
        <v>0</v>
      </c>
      <c r="G31" s="182">
        <f>IF($B31&gt;0, IF(VLOOKUP($B31,'1. Invulsheet medewerkers'!$B:$N,2,0)&lt;=G$8,(VLOOKUP($B31,'1. Invulsheet medewerkers'!$B:$N,13,0)/12)*G$10,0),)</f>
        <v>0</v>
      </c>
      <c r="H31" s="182">
        <f>IF($B31&gt;0, IF(VLOOKUP($B31,'1. Invulsheet medewerkers'!$B:$N,2,0)&lt;=H$8,(VLOOKUP($B31,'1. Invulsheet medewerkers'!$B:$N,13,0)/12)*H$10,0),)</f>
        <v>0</v>
      </c>
      <c r="I31" s="182">
        <f>IF($B31&gt;0, IF(VLOOKUP($B31,'1. Invulsheet medewerkers'!$B:$N,2,0)&lt;=I$8,(VLOOKUP($B31,'1. Invulsheet medewerkers'!$B:$N,13,0)/12)*I$10,0),)</f>
        <v>0</v>
      </c>
      <c r="J31" s="182">
        <f>IF($B31&gt;0, IF(VLOOKUP($B31,'1. Invulsheet medewerkers'!$B:$N,2,0)&lt;=J$8,(VLOOKUP($B31,'1. Invulsheet medewerkers'!$B:$N,13,0)/12)*J$10,0),)</f>
        <v>0</v>
      </c>
      <c r="K31" s="182">
        <f>IF($B31&gt;0, IF(VLOOKUP($B31,'1. Invulsheet medewerkers'!$B:$N,2,0)&lt;=K$8,(VLOOKUP($B31,'1. Invulsheet medewerkers'!$B:$N,13,0)/12)*K$10,0),)</f>
        <v>0</v>
      </c>
      <c r="L31" s="182">
        <f>IF($B31&gt;0, IF(VLOOKUP($B31,'1. Invulsheet medewerkers'!$B:$N,2,0)&lt;=L$8,(VLOOKUP($B31,'1. Invulsheet medewerkers'!$B:$N,13,0)/12)*L$10,0),)</f>
        <v>0</v>
      </c>
      <c r="M31" s="182">
        <f>IF($B31&gt;0, IF(VLOOKUP($B31,'1. Invulsheet medewerkers'!$B:$N,2,0)&lt;=M$8,(VLOOKUP($B31,'1. Invulsheet medewerkers'!$B:$N,13,0)/12)*M$10,0),)</f>
        <v>0</v>
      </c>
      <c r="N31" s="182">
        <f>IF($B31&gt;0, IF(VLOOKUP($B31,'1. Invulsheet medewerkers'!$B:$N,2,0)&lt;=N$8,(VLOOKUP($B31,'1. Invulsheet medewerkers'!$B:$N,13,0)/12)*N$10,0),)</f>
        <v>0</v>
      </c>
      <c r="O31" s="183" t="str">
        <f t="shared" si="2"/>
        <v/>
      </c>
      <c r="P31" s="236"/>
      <c r="Q31" s="236"/>
      <c r="R31" s="236"/>
      <c r="S31" s="236"/>
      <c r="T31" s="236"/>
      <c r="U31" s="236"/>
      <c r="V31" s="236"/>
      <c r="W31" s="236"/>
      <c r="X31" s="236"/>
    </row>
    <row r="32" spans="1:24" x14ac:dyDescent="0.2">
      <c r="A32" s="30"/>
      <c r="B32" s="30"/>
      <c r="C32" s="184">
        <f>IF($B32&gt;0, IF(VLOOKUP($B32,'1. Invulsheet medewerkers'!$B:$N,2,0)&lt;=C$8,(VLOOKUP($B32,'1. Invulsheet medewerkers'!$B:$N,13,0)/12)*C$10,0),)</f>
        <v>0</v>
      </c>
      <c r="D32" s="184">
        <f>IF($B32&gt;0, IF(VLOOKUP($B32,'1. Invulsheet medewerkers'!$B:$N,2,0)&lt;=D$8,(VLOOKUP($B32,'1. Invulsheet medewerkers'!$B:$N,13,0)/12)*D$10,0),)</f>
        <v>0</v>
      </c>
      <c r="E32" s="184">
        <f>IF($B32&gt;0, IF(VLOOKUP($B32,'1. Invulsheet medewerkers'!$B:$N,2,0)&lt;=E$8,(VLOOKUP($B32,'1. Invulsheet medewerkers'!$B:$N,13,0)/12)*E$10,0),)</f>
        <v>0</v>
      </c>
      <c r="F32" s="184">
        <f>IF($B32&gt;0, IF(VLOOKUP($B32,'1. Invulsheet medewerkers'!$B:$N,2,0)&lt;=F$8,(VLOOKUP($B32,'1. Invulsheet medewerkers'!$B:$N,13,0)/12)*F$10,0),)</f>
        <v>0</v>
      </c>
      <c r="G32" s="184">
        <f>IF($B32&gt;0, IF(VLOOKUP($B32,'1. Invulsheet medewerkers'!$B:$N,2,0)&lt;=G$8,(VLOOKUP($B32,'1. Invulsheet medewerkers'!$B:$N,13,0)/12)*G$10,0),)</f>
        <v>0</v>
      </c>
      <c r="H32" s="184">
        <f>IF($B32&gt;0, IF(VLOOKUP($B32,'1. Invulsheet medewerkers'!$B:$N,2,0)&lt;=H$8,(VLOOKUP($B32,'1. Invulsheet medewerkers'!$B:$N,13,0)/12)*H$10,0),)</f>
        <v>0</v>
      </c>
      <c r="I32" s="184">
        <f>IF($B32&gt;0, IF(VLOOKUP($B32,'1. Invulsheet medewerkers'!$B:$N,2,0)&lt;=I$8,(VLOOKUP($B32,'1. Invulsheet medewerkers'!$B:$N,13,0)/12)*I$10,0),)</f>
        <v>0</v>
      </c>
      <c r="J32" s="184">
        <f>IF($B32&gt;0, IF(VLOOKUP($B32,'1. Invulsheet medewerkers'!$B:$N,2,0)&lt;=J$8,(VLOOKUP($B32,'1. Invulsheet medewerkers'!$B:$N,13,0)/12)*J$10,0),)</f>
        <v>0</v>
      </c>
      <c r="K32" s="184">
        <f>IF($B32&gt;0, IF(VLOOKUP($B32,'1. Invulsheet medewerkers'!$B:$N,2,0)&lt;=K$8,(VLOOKUP($B32,'1. Invulsheet medewerkers'!$B:$N,13,0)/12)*K$10,0),)</f>
        <v>0</v>
      </c>
      <c r="L32" s="184">
        <f>IF($B32&gt;0, IF(VLOOKUP($B32,'1. Invulsheet medewerkers'!$B:$N,2,0)&lt;=L$8,(VLOOKUP($B32,'1. Invulsheet medewerkers'!$B:$N,13,0)/12)*L$10,0),)</f>
        <v>0</v>
      </c>
      <c r="M32" s="184">
        <f>IF($B32&gt;0, IF(VLOOKUP($B32,'1. Invulsheet medewerkers'!$B:$N,2,0)&lt;=M$8,(VLOOKUP($B32,'1. Invulsheet medewerkers'!$B:$N,13,0)/12)*M$10,0),)</f>
        <v>0</v>
      </c>
      <c r="N32" s="185">
        <f>IF($B32&gt;0, IF(VLOOKUP($B32,'1. Invulsheet medewerkers'!$B:$N,2,0)&lt;=N$8,(VLOOKUP($B32,'1. Invulsheet medewerkers'!$B:$N,13,0)/12)*N$10,0),)</f>
        <v>0</v>
      </c>
      <c r="O32" s="186" t="str">
        <f t="shared" si="2"/>
        <v/>
      </c>
      <c r="P32" s="236"/>
      <c r="Q32" s="236"/>
      <c r="R32" s="236"/>
      <c r="S32" s="236"/>
      <c r="T32" s="236"/>
      <c r="U32" s="236"/>
      <c r="V32" s="236"/>
      <c r="W32" s="236"/>
      <c r="X32" s="236"/>
    </row>
    <row r="33" spans="1:24" x14ac:dyDescent="0.2">
      <c r="A33" s="30"/>
      <c r="B33" s="30"/>
      <c r="C33" s="184">
        <f>IF($B33&gt;0, IF(VLOOKUP($B33,'1. Invulsheet medewerkers'!$B:$N,2,0)&lt;=C$8,(VLOOKUP($B33,'1. Invulsheet medewerkers'!$B:$N,13,0)/12)*C$10,0),)</f>
        <v>0</v>
      </c>
      <c r="D33" s="184">
        <f>IF($B33&gt;0, IF(VLOOKUP($B33,'1. Invulsheet medewerkers'!$B:$N,2,0)&lt;=D$8,(VLOOKUP($B33,'1. Invulsheet medewerkers'!$B:$N,13,0)/12)*D$10,0),)</f>
        <v>0</v>
      </c>
      <c r="E33" s="184">
        <f>IF($B33&gt;0, IF(VLOOKUP($B33,'1. Invulsheet medewerkers'!$B:$N,2,0)&lt;=E$8,(VLOOKUP($B33,'1. Invulsheet medewerkers'!$B:$N,13,0)/12)*E$10,0),)</f>
        <v>0</v>
      </c>
      <c r="F33" s="184">
        <f>IF($B33&gt;0, IF(VLOOKUP($B33,'1. Invulsheet medewerkers'!$B:$N,2,0)&lt;=F$8,(VLOOKUP($B33,'1. Invulsheet medewerkers'!$B:$N,13,0)/12)*F$10,0),)</f>
        <v>0</v>
      </c>
      <c r="G33" s="184">
        <f>IF($B33&gt;0, IF(VLOOKUP($B33,'1. Invulsheet medewerkers'!$B:$N,2,0)&lt;=G$8,(VLOOKUP($B33,'1. Invulsheet medewerkers'!$B:$N,13,0)/12)*G$10,0),)</f>
        <v>0</v>
      </c>
      <c r="H33" s="184">
        <f>IF($B33&gt;0, IF(VLOOKUP($B33,'1. Invulsheet medewerkers'!$B:$N,2,0)&lt;=H$8,(VLOOKUP($B33,'1. Invulsheet medewerkers'!$B:$N,13,0)/12)*H$10,0),)</f>
        <v>0</v>
      </c>
      <c r="I33" s="184">
        <f>IF($B33&gt;0, IF(VLOOKUP($B33,'1. Invulsheet medewerkers'!$B:$N,2,0)&lt;=I$8,(VLOOKUP($B33,'1. Invulsheet medewerkers'!$B:$N,13,0)/12)*I$10,0),)</f>
        <v>0</v>
      </c>
      <c r="J33" s="184">
        <f>IF($B33&gt;0, IF(VLOOKUP($B33,'1. Invulsheet medewerkers'!$B:$N,2,0)&lt;=J$8,(VLOOKUP($B33,'1. Invulsheet medewerkers'!$B:$N,13,0)/12)*J$10,0),)</f>
        <v>0</v>
      </c>
      <c r="K33" s="184">
        <f>IF($B33&gt;0, IF(VLOOKUP($B33,'1. Invulsheet medewerkers'!$B:$N,2,0)&lt;=K$8,(VLOOKUP($B33,'1. Invulsheet medewerkers'!$B:$N,13,0)/12)*K$10,0),)</f>
        <v>0</v>
      </c>
      <c r="L33" s="184">
        <f>IF($B33&gt;0, IF(VLOOKUP($B33,'1. Invulsheet medewerkers'!$B:$N,2,0)&lt;=L$8,(VLOOKUP($B33,'1. Invulsheet medewerkers'!$B:$N,13,0)/12)*L$10,0),)</f>
        <v>0</v>
      </c>
      <c r="M33" s="184">
        <f>IF($B33&gt;0, IF(VLOOKUP($B33,'1. Invulsheet medewerkers'!$B:$N,2,0)&lt;=M$8,(VLOOKUP($B33,'1. Invulsheet medewerkers'!$B:$N,13,0)/12)*M$10,0),)</f>
        <v>0</v>
      </c>
      <c r="N33" s="185">
        <f>IF($B33&gt;0, IF(VLOOKUP($B33,'1. Invulsheet medewerkers'!$B:$N,2,0)&lt;=N$8,(VLOOKUP($B33,'1. Invulsheet medewerkers'!$B:$N,13,0)/12)*N$10,0),)</f>
        <v>0</v>
      </c>
      <c r="O33" s="187" t="str">
        <f t="shared" si="2"/>
        <v/>
      </c>
      <c r="P33" s="236"/>
      <c r="Q33" s="236"/>
      <c r="R33" s="236"/>
      <c r="S33" s="236"/>
      <c r="T33" s="236"/>
      <c r="U33" s="236"/>
      <c r="V33" s="236"/>
      <c r="W33" s="236"/>
      <c r="X33" s="236"/>
    </row>
    <row r="34" spans="1:24" ht="1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row>
    <row r="35" spans="1:24" ht="1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4" ht="1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row>
    <row r="37" spans="1:24" ht="15"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row>
    <row r="38" spans="1:24" ht="1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row>
    <row r="39" spans="1:24" ht="1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4" ht="15"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row>
    <row r="41" spans="1:24" ht="15" customHeight="1"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row>
    <row r="42" spans="1:24" ht="15"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row>
    <row r="43" spans="1:24" ht="15"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row>
    <row r="44" spans="1:24" ht="1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row>
    <row r="45" spans="1:24" ht="15"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row>
    <row r="46" spans="1:24" ht="15"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row>
    <row r="47" spans="1:24" ht="15"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row>
    <row r="48" spans="1:24" ht="15" customHeight="1" x14ac:dyDescent="0.2">
      <c r="A48" s="30"/>
      <c r="B48" s="30"/>
      <c r="C48" s="30"/>
      <c r="D48" s="30"/>
      <c r="E48" s="30"/>
      <c r="F48" s="30"/>
      <c r="G48" s="30"/>
      <c r="H48" s="30"/>
      <c r="I48" s="30"/>
      <c r="J48" s="30"/>
      <c r="K48" s="30"/>
      <c r="L48" s="30"/>
      <c r="M48" s="30"/>
      <c r="N48" s="30"/>
      <c r="O48" s="30"/>
      <c r="P48" s="30"/>
      <c r="Q48" s="30"/>
      <c r="R48" s="30"/>
      <c r="S48" s="30"/>
      <c r="T48" s="30"/>
      <c r="U48" s="30"/>
    </row>
    <row r="49" spans="1:21" ht="15" customHeight="1" x14ac:dyDescent="0.2">
      <c r="A49" s="30"/>
      <c r="B49" s="30"/>
      <c r="C49" s="30"/>
      <c r="D49" s="30"/>
      <c r="E49" s="30"/>
      <c r="F49" s="30"/>
      <c r="G49" s="30"/>
      <c r="H49" s="30"/>
      <c r="I49" s="30"/>
      <c r="J49" s="30"/>
      <c r="K49" s="30"/>
      <c r="L49" s="30"/>
      <c r="M49" s="30"/>
      <c r="N49" s="30"/>
      <c r="O49" s="30"/>
      <c r="P49" s="30"/>
      <c r="Q49" s="30"/>
      <c r="R49" s="30"/>
      <c r="S49" s="30"/>
      <c r="T49" s="30"/>
      <c r="U49" s="30"/>
    </row>
    <row r="50" spans="1:21" ht="15" customHeight="1" x14ac:dyDescent="0.2">
      <c r="A50" s="30"/>
      <c r="B50" s="30"/>
      <c r="C50" s="30"/>
      <c r="D50" s="30"/>
      <c r="E50" s="30"/>
      <c r="F50" s="30"/>
      <c r="G50" s="30"/>
      <c r="H50" s="30"/>
      <c r="I50" s="30"/>
      <c r="J50" s="30"/>
      <c r="K50" s="30"/>
      <c r="L50" s="30"/>
      <c r="M50" s="30"/>
      <c r="N50" s="30"/>
      <c r="O50" s="30"/>
      <c r="P50" s="30"/>
      <c r="Q50" s="30"/>
      <c r="R50" s="30"/>
      <c r="S50" s="30"/>
      <c r="T50" s="30"/>
      <c r="U50" s="30"/>
    </row>
    <row r="51" spans="1:21" ht="15" customHeight="1" x14ac:dyDescent="0.2">
      <c r="A51" s="30"/>
      <c r="B51" s="30"/>
      <c r="C51" s="30"/>
      <c r="D51" s="30"/>
      <c r="E51" s="30"/>
      <c r="F51" s="30"/>
      <c r="G51" s="30"/>
      <c r="H51" s="30"/>
      <c r="I51" s="30"/>
      <c r="J51" s="30"/>
      <c r="K51" s="30"/>
      <c r="L51" s="30"/>
      <c r="M51" s="30"/>
      <c r="N51" s="30"/>
      <c r="O51" s="30"/>
      <c r="P51" s="30"/>
      <c r="Q51" s="30"/>
      <c r="R51" s="30"/>
      <c r="S51" s="30"/>
      <c r="T51" s="30"/>
      <c r="U51" s="30"/>
    </row>
    <row r="52" spans="1:21" ht="15" customHeight="1" x14ac:dyDescent="0.2">
      <c r="A52" s="30"/>
      <c r="B52" s="30"/>
      <c r="C52" s="30"/>
      <c r="D52" s="30"/>
      <c r="E52" s="30"/>
      <c r="F52" s="30"/>
      <c r="G52" s="30"/>
      <c r="H52" s="30"/>
      <c r="I52" s="30"/>
      <c r="J52" s="30"/>
      <c r="K52" s="30"/>
      <c r="L52" s="30"/>
      <c r="M52" s="30"/>
      <c r="N52" s="30"/>
      <c r="O52" s="30"/>
      <c r="P52" s="30"/>
      <c r="Q52" s="30"/>
      <c r="R52" s="30"/>
      <c r="S52" s="30"/>
      <c r="T52" s="30"/>
      <c r="U52" s="30"/>
    </row>
    <row r="53" spans="1:21" ht="15" customHeight="1" x14ac:dyDescent="0.2">
      <c r="A53" s="30"/>
      <c r="B53" s="30"/>
      <c r="C53" s="30"/>
      <c r="D53" s="30"/>
      <c r="E53" s="30"/>
      <c r="F53" s="30"/>
      <c r="G53" s="30"/>
      <c r="H53" s="30"/>
      <c r="I53" s="30"/>
      <c r="J53" s="30"/>
      <c r="K53" s="30"/>
      <c r="L53" s="30"/>
      <c r="M53" s="30"/>
      <c r="N53" s="30"/>
      <c r="O53" s="30"/>
      <c r="P53" s="30"/>
      <c r="Q53" s="30"/>
      <c r="R53" s="30"/>
      <c r="S53" s="30"/>
      <c r="T53" s="30"/>
      <c r="U53" s="30"/>
    </row>
    <row r="54" spans="1:21" ht="15" customHeight="1" x14ac:dyDescent="0.2">
      <c r="A54" s="30"/>
      <c r="B54" s="30"/>
      <c r="C54" s="30"/>
      <c r="D54" s="30"/>
      <c r="E54" s="30"/>
      <c r="F54" s="30"/>
      <c r="G54" s="30"/>
      <c r="H54" s="30"/>
      <c r="I54" s="30"/>
      <c r="J54" s="30"/>
      <c r="K54" s="30"/>
      <c r="L54" s="30"/>
      <c r="M54" s="30"/>
      <c r="N54" s="30"/>
      <c r="O54" s="30"/>
      <c r="P54" s="30"/>
      <c r="Q54" s="30"/>
      <c r="R54" s="30"/>
      <c r="S54" s="30"/>
      <c r="T54" s="30"/>
      <c r="U54" s="30"/>
    </row>
    <row r="55" spans="1:21" ht="15" customHeight="1" x14ac:dyDescent="0.2">
      <c r="A55" s="30"/>
      <c r="B55" s="30"/>
      <c r="C55" s="30"/>
      <c r="D55" s="30"/>
      <c r="E55" s="30"/>
      <c r="F55" s="30"/>
      <c r="G55" s="30"/>
      <c r="H55" s="30"/>
      <c r="I55" s="30"/>
      <c r="J55" s="30"/>
      <c r="K55" s="30"/>
      <c r="L55" s="30"/>
      <c r="M55" s="30"/>
      <c r="N55" s="30"/>
      <c r="O55" s="30"/>
      <c r="P55" s="30"/>
      <c r="Q55" s="30"/>
      <c r="R55" s="30"/>
      <c r="S55" s="30"/>
      <c r="T55" s="30"/>
      <c r="U55" s="30"/>
    </row>
    <row r="56" spans="1:21" ht="15" customHeight="1" x14ac:dyDescent="0.2">
      <c r="A56" s="30"/>
      <c r="B56" s="30"/>
      <c r="C56" s="30"/>
      <c r="D56" s="30"/>
      <c r="E56" s="30"/>
      <c r="F56" s="30"/>
      <c r="G56" s="30"/>
      <c r="H56" s="30"/>
      <c r="I56" s="30"/>
      <c r="J56" s="30"/>
      <c r="K56" s="30"/>
      <c r="L56" s="30"/>
      <c r="M56" s="30"/>
      <c r="N56" s="30"/>
      <c r="O56" s="30"/>
      <c r="P56" s="30"/>
      <c r="Q56" s="30"/>
      <c r="R56" s="30"/>
      <c r="S56" s="30"/>
      <c r="T56" s="30"/>
      <c r="U56" s="30"/>
    </row>
    <row r="57" spans="1:21" ht="15" customHeight="1" x14ac:dyDescent="0.2">
      <c r="A57" s="30"/>
      <c r="B57" s="30"/>
      <c r="C57" s="30"/>
      <c r="D57" s="30"/>
      <c r="E57" s="30"/>
      <c r="F57" s="30"/>
      <c r="G57" s="30"/>
      <c r="H57" s="30"/>
      <c r="I57" s="30"/>
      <c r="J57" s="30"/>
      <c r="K57" s="30"/>
      <c r="L57" s="30"/>
      <c r="M57" s="30"/>
      <c r="N57" s="30"/>
      <c r="O57" s="30"/>
      <c r="P57" s="30"/>
      <c r="Q57" s="30"/>
      <c r="R57" s="30"/>
      <c r="S57" s="30"/>
      <c r="T57" s="30"/>
      <c r="U57" s="30"/>
    </row>
  </sheetData>
  <mergeCells count="2">
    <mergeCell ref="B2:C2"/>
    <mergeCell ref="B5:O5"/>
  </mergeCells>
  <conditionalFormatting sqref="O10">
    <cfRule type="cellIs" dxfId="1" priority="1" operator="notEqual">
      <formula>12</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E5CD"/>
    <outlinePr summaryBelow="0" summaryRight="0"/>
  </sheetPr>
  <dimension ref="A1:Z47"/>
  <sheetViews>
    <sheetView tabSelected="1" workbookViewId="0">
      <selection activeCell="E36" sqref="E36"/>
    </sheetView>
  </sheetViews>
  <sheetFormatPr baseColWidth="10" defaultColWidth="14.5" defaultRowHeight="15" customHeight="1" x14ac:dyDescent="0.2"/>
  <cols>
    <col min="1" max="1" width="5" customWidth="1"/>
    <col min="2" max="2" width="26.5" customWidth="1"/>
    <col min="16" max="16" width="13.1640625" hidden="1" customWidth="1"/>
  </cols>
  <sheetData>
    <row r="1" spans="1:26" ht="18.75" customHeight="1" x14ac:dyDescent="0.2">
      <c r="A1" s="29"/>
      <c r="B1" s="29"/>
      <c r="C1" s="30"/>
      <c r="D1" s="30"/>
      <c r="E1" s="30"/>
      <c r="F1" s="30"/>
      <c r="G1" s="30"/>
      <c r="H1" s="30"/>
      <c r="I1" s="30"/>
      <c r="J1" s="30"/>
      <c r="K1" s="30"/>
      <c r="L1" s="30"/>
      <c r="M1" s="30"/>
      <c r="N1" s="30"/>
      <c r="O1" s="30"/>
      <c r="P1" s="188"/>
      <c r="Q1" s="30"/>
      <c r="R1" s="30"/>
      <c r="S1" s="30"/>
      <c r="T1" s="30"/>
      <c r="U1" s="30"/>
      <c r="V1" s="30"/>
      <c r="W1" s="30"/>
      <c r="X1" s="30"/>
      <c r="Y1" s="30"/>
      <c r="Z1" s="30"/>
    </row>
    <row r="2" spans="1:26" ht="31.5" customHeight="1" x14ac:dyDescent="0.2">
      <c r="A2" s="29"/>
      <c r="B2" s="361"/>
      <c r="C2" s="343"/>
      <c r="D2" s="30"/>
      <c r="E2" s="30"/>
      <c r="F2" s="30"/>
      <c r="G2" s="30"/>
      <c r="H2" s="30"/>
      <c r="I2" s="30"/>
      <c r="J2" s="30"/>
      <c r="K2" s="30"/>
      <c r="L2" s="30"/>
      <c r="M2" s="30"/>
      <c r="N2" s="30"/>
      <c r="O2" s="30"/>
      <c r="P2" s="188"/>
      <c r="Q2" s="30"/>
      <c r="R2" s="30"/>
      <c r="S2" s="30"/>
      <c r="T2" s="30"/>
      <c r="U2" s="30"/>
      <c r="V2" s="30"/>
      <c r="W2" s="30"/>
      <c r="X2" s="30"/>
      <c r="Y2" s="30"/>
      <c r="Z2" s="30"/>
    </row>
    <row r="3" spans="1:26" ht="17.25" customHeight="1" x14ac:dyDescent="0.2">
      <c r="A3" s="29"/>
      <c r="B3" s="29"/>
      <c r="C3" s="30"/>
      <c r="D3" s="30"/>
      <c r="E3" s="30"/>
      <c r="F3" s="30"/>
      <c r="G3" s="30"/>
      <c r="H3" s="30"/>
      <c r="I3" s="30"/>
      <c r="J3" s="30"/>
      <c r="K3" s="30"/>
      <c r="L3" s="30"/>
      <c r="M3" s="30"/>
      <c r="N3" s="30"/>
      <c r="O3" s="30"/>
      <c r="P3" s="189"/>
      <c r="Q3" s="30"/>
      <c r="R3" s="30"/>
      <c r="S3" s="30"/>
      <c r="T3" s="30"/>
      <c r="U3" s="30"/>
      <c r="V3" s="30"/>
      <c r="W3" s="30"/>
      <c r="X3" s="30"/>
      <c r="Y3" s="30"/>
      <c r="Z3" s="30"/>
    </row>
    <row r="4" spans="1:26" ht="22" x14ac:dyDescent="0.25">
      <c r="A4" s="29"/>
      <c r="B4" s="32" t="s">
        <v>103</v>
      </c>
      <c r="C4" s="30"/>
      <c r="D4" s="30"/>
      <c r="E4" s="30"/>
      <c r="F4" s="30"/>
      <c r="G4" s="30"/>
      <c r="H4" s="30"/>
      <c r="I4" s="30"/>
      <c r="J4" s="30"/>
      <c r="K4" s="30"/>
      <c r="L4" s="30"/>
      <c r="M4" s="30"/>
      <c r="N4" s="30"/>
      <c r="O4" s="30"/>
      <c r="P4" s="190"/>
      <c r="Q4" s="30"/>
      <c r="R4" s="30"/>
      <c r="S4" s="30"/>
      <c r="T4" s="30"/>
      <c r="U4" s="30"/>
      <c r="V4" s="30"/>
      <c r="W4" s="30"/>
      <c r="X4" s="30"/>
      <c r="Y4" s="30"/>
      <c r="Z4" s="30"/>
    </row>
    <row r="5" spans="1:26" x14ac:dyDescent="0.2">
      <c r="A5" s="30"/>
      <c r="B5" s="33" t="s">
        <v>104</v>
      </c>
      <c r="C5" s="148"/>
      <c r="D5" s="148"/>
      <c r="E5" s="148"/>
      <c r="F5" s="148"/>
      <c r="G5" s="148"/>
      <c r="H5" s="148"/>
      <c r="I5" s="148"/>
      <c r="J5" s="148"/>
      <c r="K5" s="148"/>
      <c r="L5" s="148"/>
      <c r="M5" s="148"/>
      <c r="N5" s="148"/>
      <c r="O5" s="148"/>
      <c r="P5" s="191"/>
      <c r="Q5" s="30"/>
      <c r="R5" s="30"/>
      <c r="S5" s="30"/>
      <c r="T5" s="30"/>
      <c r="U5" s="30"/>
      <c r="V5" s="30"/>
      <c r="W5" s="30"/>
      <c r="X5" s="30"/>
      <c r="Y5" s="30"/>
      <c r="Z5" s="30"/>
    </row>
    <row r="6" spans="1:26" x14ac:dyDescent="0.2">
      <c r="A6" s="35"/>
      <c r="B6" s="35"/>
      <c r="C6" s="148"/>
      <c r="D6" s="148"/>
      <c r="E6" s="148"/>
      <c r="F6" s="148"/>
      <c r="G6" s="148"/>
      <c r="H6" s="148"/>
      <c r="I6" s="148"/>
      <c r="J6" s="148"/>
      <c r="K6" s="148"/>
      <c r="L6" s="148"/>
      <c r="M6" s="148"/>
      <c r="N6" s="148"/>
      <c r="O6" s="148"/>
      <c r="P6" s="191"/>
      <c r="Q6" s="30"/>
      <c r="R6" s="30"/>
      <c r="S6" s="30"/>
      <c r="T6" s="30"/>
      <c r="U6" s="30"/>
      <c r="V6" s="30"/>
      <c r="W6" s="30"/>
      <c r="X6" s="30"/>
      <c r="Y6" s="30"/>
      <c r="Z6" s="30"/>
    </row>
    <row r="7" spans="1:26" ht="22.5" customHeight="1" x14ac:dyDescent="0.2">
      <c r="A7" s="30"/>
      <c r="B7" s="192" t="s">
        <v>105</v>
      </c>
      <c r="C7" s="151" t="s">
        <v>88</v>
      </c>
      <c r="D7" s="151" t="s">
        <v>89</v>
      </c>
      <c r="E7" s="151" t="s">
        <v>90</v>
      </c>
      <c r="F7" s="151" t="s">
        <v>91</v>
      </c>
      <c r="G7" s="151" t="s">
        <v>92</v>
      </c>
      <c r="H7" s="151" t="s">
        <v>93</v>
      </c>
      <c r="I7" s="151" t="s">
        <v>94</v>
      </c>
      <c r="J7" s="151" t="s">
        <v>95</v>
      </c>
      <c r="K7" s="151" t="s">
        <v>96</v>
      </c>
      <c r="L7" s="151" t="s">
        <v>97</v>
      </c>
      <c r="M7" s="151" t="s">
        <v>98</v>
      </c>
      <c r="N7" s="151" t="s">
        <v>99</v>
      </c>
      <c r="O7" s="151" t="s">
        <v>100</v>
      </c>
      <c r="P7" s="191" t="s">
        <v>106</v>
      </c>
      <c r="Q7" s="30"/>
      <c r="R7" s="30"/>
      <c r="S7" s="30"/>
      <c r="T7" s="30"/>
      <c r="U7" s="30"/>
      <c r="V7" s="30"/>
      <c r="W7" s="30"/>
      <c r="X7" s="30"/>
      <c r="Y7" s="30"/>
      <c r="Z7" s="30"/>
    </row>
    <row r="8" spans="1:26" ht="18" customHeight="1" x14ac:dyDescent="0.2">
      <c r="A8" s="30"/>
      <c r="B8" s="154" t="s">
        <v>87</v>
      </c>
      <c r="C8" s="155">
        <v>1</v>
      </c>
      <c r="D8" s="155">
        <v>2</v>
      </c>
      <c r="E8" s="155">
        <v>3</v>
      </c>
      <c r="F8" s="155">
        <v>4</v>
      </c>
      <c r="G8" s="155">
        <v>5</v>
      </c>
      <c r="H8" s="155">
        <v>6</v>
      </c>
      <c r="I8" s="155">
        <v>7</v>
      </c>
      <c r="J8" s="155">
        <v>8</v>
      </c>
      <c r="K8" s="155">
        <v>9</v>
      </c>
      <c r="L8" s="155">
        <v>10</v>
      </c>
      <c r="M8" s="155">
        <v>11</v>
      </c>
      <c r="N8" s="156">
        <v>12</v>
      </c>
      <c r="O8" s="193"/>
      <c r="P8" s="191"/>
      <c r="Q8" s="30"/>
      <c r="R8" s="30"/>
      <c r="S8" s="30"/>
      <c r="T8" s="30"/>
      <c r="U8" s="30"/>
      <c r="V8" s="30"/>
      <c r="W8" s="30"/>
      <c r="X8" s="30"/>
      <c r="Y8" s="30"/>
      <c r="Z8" s="30"/>
    </row>
    <row r="9" spans="1:26" ht="19.5" customHeight="1" x14ac:dyDescent="0.2">
      <c r="A9" s="30"/>
      <c r="B9" s="194" t="s">
        <v>45</v>
      </c>
      <c r="C9" s="195">
        <f t="shared" ref="C9:N9" ca="1" si="0">SUM(C10:C300)</f>
        <v>42108</v>
      </c>
      <c r="D9" s="195">
        <f t="shared" ca="1" si="0"/>
        <v>42108</v>
      </c>
      <c r="E9" s="195">
        <f t="shared" ca="1" si="0"/>
        <v>42108</v>
      </c>
      <c r="F9" s="195">
        <f t="shared" ca="1" si="0"/>
        <v>48708</v>
      </c>
      <c r="G9" s="195">
        <f t="shared" ca="1" si="0"/>
        <v>52668</v>
      </c>
      <c r="H9" s="195">
        <f t="shared" ca="1" si="0"/>
        <v>52668</v>
      </c>
      <c r="I9" s="195">
        <f t="shared" ca="1" si="0"/>
        <v>55836</v>
      </c>
      <c r="J9" s="195">
        <f t="shared" ca="1" si="0"/>
        <v>55836</v>
      </c>
      <c r="K9" s="195">
        <f t="shared" ca="1" si="0"/>
        <v>55836</v>
      </c>
      <c r="L9" s="195">
        <f t="shared" ca="1" si="0"/>
        <v>55836</v>
      </c>
      <c r="M9" s="195">
        <f t="shared" ca="1" si="0"/>
        <v>55836</v>
      </c>
      <c r="N9" s="195">
        <f t="shared" ca="1" si="0"/>
        <v>55836</v>
      </c>
      <c r="O9" s="195">
        <f ca="1">SUM(C9:N9)</f>
        <v>615384</v>
      </c>
      <c r="P9" s="196"/>
      <c r="Q9" s="30"/>
      <c r="R9" s="30"/>
      <c r="S9" s="30"/>
      <c r="T9" s="30"/>
      <c r="U9" s="30"/>
      <c r="V9" s="30"/>
      <c r="W9" s="30"/>
      <c r="X9" s="30"/>
      <c r="Y9" s="30"/>
      <c r="Z9" s="30"/>
    </row>
    <row r="10" spans="1:26" x14ac:dyDescent="0.2">
      <c r="A10" s="30"/>
      <c r="B10" s="197" t="str">
        <f ca="1">IFERROR(__xludf.DUMMYFUNCTION("UNIQUE(FILTER('1. Invulsheet medewerkers'!B15:B49,('1. Invulsheet medewerkers'!D15:D49+1)&gt;1))"),"Medewerker 1")</f>
        <v>Medewerker 1</v>
      </c>
      <c r="C10" s="198">
        <f ca="1">IF($B10&gt;0,IF(VLOOKUP($B10,'1. Invulsheet medewerkers'!$B:$I,2,0)&lt;=C$8,VLOOKUP($B10,'1. Invulsheet medewerkers'!$B:$I,8,0),0),)</f>
        <v>4620</v>
      </c>
      <c r="D10" s="198">
        <f ca="1">IF($B10&gt;0,IF(VLOOKUP($B10,'1. Invulsheet medewerkers'!$B:$I,2,0)&lt;=D$8,VLOOKUP($B10,'1. Invulsheet medewerkers'!$B:$I,8,0),0),)</f>
        <v>4620</v>
      </c>
      <c r="E10" s="198">
        <f ca="1">IF($B10&gt;0,IF(VLOOKUP($B10,'1. Invulsheet medewerkers'!$B:$I,2,0)&lt;=E$8,VLOOKUP($B10,'1. Invulsheet medewerkers'!$B:$I,8,0),0),)</f>
        <v>4620</v>
      </c>
      <c r="F10" s="198">
        <f ca="1">IF($B10&gt;0,IF(VLOOKUP($B10,'1. Invulsheet medewerkers'!$B:$I,2,0)&lt;=F$8,VLOOKUP($B10,'1. Invulsheet medewerkers'!$B:$I,8,0),0),)</f>
        <v>4620</v>
      </c>
      <c r="G10" s="198">
        <f ca="1">IF($B10&gt;0,IF(VLOOKUP($B10,'1. Invulsheet medewerkers'!$B:$I,2,0)&lt;=G$8,VLOOKUP($B10,'1. Invulsheet medewerkers'!$B:$I,8,0),0),)</f>
        <v>4620</v>
      </c>
      <c r="H10" s="198">
        <f ca="1">IF($B10&gt;0,IF(VLOOKUP($B10,'1. Invulsheet medewerkers'!$B:$I,2,0)&lt;=H$8,VLOOKUP($B10,'1. Invulsheet medewerkers'!$B:$I,8,0),0),)</f>
        <v>4620</v>
      </c>
      <c r="I10" s="198">
        <f ca="1">IF($B10&gt;0,IF(VLOOKUP($B10,'1. Invulsheet medewerkers'!$B:$I,2,0)&lt;=I$8,VLOOKUP($B10,'1. Invulsheet medewerkers'!$B:$I,8,0),0),)</f>
        <v>4620</v>
      </c>
      <c r="J10" s="198">
        <f ca="1">IF($B10&gt;0,IF(VLOOKUP($B10,'1. Invulsheet medewerkers'!$B:$I,2,0)&lt;=J$8,VLOOKUP($B10,'1. Invulsheet medewerkers'!$B:$I,8,0),0),)</f>
        <v>4620</v>
      </c>
      <c r="K10" s="198">
        <f ca="1">IF($B10&gt;0,IF(VLOOKUP($B10,'1. Invulsheet medewerkers'!$B:$I,2,0)&lt;=K$8,VLOOKUP($B10,'1. Invulsheet medewerkers'!$B:$I,8,0),0),)</f>
        <v>4620</v>
      </c>
      <c r="L10" s="198">
        <f ca="1">IF($B10&gt;0,IF(VLOOKUP($B10,'1. Invulsheet medewerkers'!$B:$I,2,0)&lt;=L$8,VLOOKUP($B10,'1. Invulsheet medewerkers'!$B:$I,8,0),0),)</f>
        <v>4620</v>
      </c>
      <c r="M10" s="198">
        <f ca="1">IF($B10&gt;0,IF(VLOOKUP($B10,'1. Invulsheet medewerkers'!$B:$I,2,0)&lt;=M$8,VLOOKUP($B10,'1. Invulsheet medewerkers'!$B:$I,8,0),0),)</f>
        <v>4620</v>
      </c>
      <c r="N10" s="199">
        <f ca="1">IF($B10&gt;0,IF(VLOOKUP($B10,'1. Invulsheet medewerkers'!$B:$I,2,0)&lt;=N$8,VLOOKUP($B10,'1. Invulsheet medewerkers'!$B:$I,8,0),0),)</f>
        <v>4620</v>
      </c>
      <c r="O10" s="200">
        <f t="shared" ref="O10:O30" ca="1" si="1">IF(B10&gt;0, SUM(C10:N10),"")</f>
        <v>55440</v>
      </c>
      <c r="P10" s="191" t="str">
        <f ca="1">IF(VLOOKUP(B10,'1. Invulsheet medewerkers'!B:N,13,0)&gt;0,"d","i")</f>
        <v>d</v>
      </c>
      <c r="Q10" s="30"/>
      <c r="R10" s="30"/>
      <c r="S10" s="30"/>
      <c r="T10" s="30"/>
      <c r="U10" s="30"/>
      <c r="V10" s="30"/>
      <c r="W10" s="30"/>
      <c r="X10" s="30"/>
      <c r="Y10" s="30"/>
      <c r="Z10" s="30"/>
    </row>
    <row r="11" spans="1:26" x14ac:dyDescent="0.2">
      <c r="A11" s="30"/>
      <c r="B11" s="201" t="str">
        <f ca="1">IFERROR(__xludf.DUMMYFUNCTION("""COMPUTED_VALUE"""),"Medewerker 2")</f>
        <v>Medewerker 2</v>
      </c>
      <c r="C11" s="202">
        <f ca="1">IF($B11&gt;0,IF(VLOOKUP($B11,'1. Invulsheet medewerkers'!$B:$I,2,0)&lt;=C$8,VLOOKUP($B11,'1. Invulsheet medewerkers'!$B:$I,8,0),0),)</f>
        <v>1320</v>
      </c>
      <c r="D11" s="202">
        <f ca="1">IF($B11&gt;0,IF(VLOOKUP($B11,'1. Invulsheet medewerkers'!$B:$I,2,0)&lt;=D$8,VLOOKUP($B11,'1. Invulsheet medewerkers'!$B:$I,8,0),0),)</f>
        <v>1320</v>
      </c>
      <c r="E11" s="202">
        <f ca="1">IF($B11&gt;0,IF(VLOOKUP($B11,'1. Invulsheet medewerkers'!$B:$I,2,0)&lt;=E$8,VLOOKUP($B11,'1. Invulsheet medewerkers'!$B:$I,8,0),0),)</f>
        <v>1320</v>
      </c>
      <c r="F11" s="202">
        <f ca="1">IF($B11&gt;0,IF(VLOOKUP($B11,'1. Invulsheet medewerkers'!$B:$I,2,0)&lt;=F$8,VLOOKUP($B11,'1. Invulsheet medewerkers'!$B:$I,8,0),0),)</f>
        <v>1320</v>
      </c>
      <c r="G11" s="202">
        <f ca="1">IF($B11&gt;0,IF(VLOOKUP($B11,'1. Invulsheet medewerkers'!$B:$I,2,0)&lt;=G$8,VLOOKUP($B11,'1. Invulsheet medewerkers'!$B:$I,8,0),0),)</f>
        <v>1320</v>
      </c>
      <c r="H11" s="202">
        <f ca="1">IF($B11&gt;0,IF(VLOOKUP($B11,'1. Invulsheet medewerkers'!$B:$I,2,0)&lt;=H$8,VLOOKUP($B11,'1. Invulsheet medewerkers'!$B:$I,8,0),0),)</f>
        <v>1320</v>
      </c>
      <c r="I11" s="202">
        <f ca="1">IF($B11&gt;0,IF(VLOOKUP($B11,'1. Invulsheet medewerkers'!$B:$I,2,0)&lt;=I$8,VLOOKUP($B11,'1. Invulsheet medewerkers'!$B:$I,8,0),0),)</f>
        <v>1320</v>
      </c>
      <c r="J11" s="202">
        <f ca="1">IF($B11&gt;0,IF(VLOOKUP($B11,'1. Invulsheet medewerkers'!$B:$I,2,0)&lt;=J$8,VLOOKUP($B11,'1. Invulsheet medewerkers'!$B:$I,8,0),0),)</f>
        <v>1320</v>
      </c>
      <c r="K11" s="202">
        <f ca="1">IF($B11&gt;0,IF(VLOOKUP($B11,'1. Invulsheet medewerkers'!$B:$I,2,0)&lt;=K$8,VLOOKUP($B11,'1. Invulsheet medewerkers'!$B:$I,8,0),0),)</f>
        <v>1320</v>
      </c>
      <c r="L11" s="202">
        <f ca="1">IF($B11&gt;0,IF(VLOOKUP($B11,'1. Invulsheet medewerkers'!$B:$I,2,0)&lt;=L$8,VLOOKUP($B11,'1. Invulsheet medewerkers'!$B:$I,8,0),0),)</f>
        <v>1320</v>
      </c>
      <c r="M11" s="202">
        <f ca="1">IF($B11&gt;0,IF(VLOOKUP($B11,'1. Invulsheet medewerkers'!$B:$I,2,0)&lt;=M$8,VLOOKUP($B11,'1. Invulsheet medewerkers'!$B:$I,8,0),0),)</f>
        <v>1320</v>
      </c>
      <c r="N11" s="203">
        <f ca="1">IF($B11&gt;0,IF(VLOOKUP($B11,'1. Invulsheet medewerkers'!$B:$I,2,0)&lt;=N$8,VLOOKUP($B11,'1. Invulsheet medewerkers'!$B:$I,8,0),0),)</f>
        <v>1320</v>
      </c>
      <c r="O11" s="200">
        <f t="shared" ca="1" si="1"/>
        <v>15840</v>
      </c>
      <c r="P11" s="191" t="str">
        <f ca="1">IF(VLOOKUP(B11,'1. Invulsheet medewerkers'!B:N,13,0)&gt;0,"d","i")</f>
        <v>d</v>
      </c>
      <c r="Q11" s="30"/>
      <c r="R11" s="30"/>
      <c r="S11" s="30"/>
      <c r="T11" s="30"/>
      <c r="U11" s="30"/>
      <c r="V11" s="30"/>
      <c r="W11" s="30"/>
      <c r="X11" s="30"/>
      <c r="Y11" s="30"/>
      <c r="Z11" s="30"/>
    </row>
    <row r="12" spans="1:26" x14ac:dyDescent="0.2">
      <c r="A12" s="30"/>
      <c r="B12" s="204" t="str">
        <f ca="1">IFERROR(__xludf.DUMMYFUNCTION("""COMPUTED_VALUE"""),"Medewerker 3")</f>
        <v>Medewerker 3</v>
      </c>
      <c r="C12" s="205">
        <f ca="1">IF($B12&gt;0,IF(VLOOKUP($B12,'1. Invulsheet medewerkers'!$B:$I,2,0)&lt;=C$8,VLOOKUP($B12,'1. Invulsheet medewerkers'!$B:$I,8,0),0),)</f>
        <v>7920</v>
      </c>
      <c r="D12" s="205">
        <f ca="1">IF($B12&gt;0,IF(VLOOKUP($B12,'1. Invulsheet medewerkers'!$B:$I,2,0)&lt;=D$8,VLOOKUP($B12,'1. Invulsheet medewerkers'!$B:$I,8,0),0),)</f>
        <v>7920</v>
      </c>
      <c r="E12" s="205">
        <f ca="1">IF($B12&gt;0,IF(VLOOKUP($B12,'1. Invulsheet medewerkers'!$B:$I,2,0)&lt;=E$8,VLOOKUP($B12,'1. Invulsheet medewerkers'!$B:$I,8,0),0),)</f>
        <v>7920</v>
      </c>
      <c r="F12" s="205">
        <f ca="1">IF($B12&gt;0,IF(VLOOKUP($B12,'1. Invulsheet medewerkers'!$B:$I,2,0)&lt;=F$8,VLOOKUP($B12,'1. Invulsheet medewerkers'!$B:$I,8,0),0),)</f>
        <v>7920</v>
      </c>
      <c r="G12" s="205">
        <f ca="1">IF($B12&gt;0,IF(VLOOKUP($B12,'1. Invulsheet medewerkers'!$B:$I,2,0)&lt;=G$8,VLOOKUP($B12,'1. Invulsheet medewerkers'!$B:$I,8,0),0),)</f>
        <v>7920</v>
      </c>
      <c r="H12" s="205">
        <f ca="1">IF($B12&gt;0,IF(VLOOKUP($B12,'1. Invulsheet medewerkers'!$B:$I,2,0)&lt;=H$8,VLOOKUP($B12,'1. Invulsheet medewerkers'!$B:$I,8,0),0),)</f>
        <v>7920</v>
      </c>
      <c r="I12" s="205">
        <f ca="1">IF($B12&gt;0,IF(VLOOKUP($B12,'1. Invulsheet medewerkers'!$B:$I,2,0)&lt;=I$8,VLOOKUP($B12,'1. Invulsheet medewerkers'!$B:$I,8,0),0),)</f>
        <v>7920</v>
      </c>
      <c r="J12" s="205">
        <f ca="1">IF($B12&gt;0,IF(VLOOKUP($B12,'1. Invulsheet medewerkers'!$B:$I,2,0)&lt;=J$8,VLOOKUP($B12,'1. Invulsheet medewerkers'!$B:$I,8,0),0),)</f>
        <v>7920</v>
      </c>
      <c r="K12" s="205">
        <f ca="1">IF($B12&gt;0,IF(VLOOKUP($B12,'1. Invulsheet medewerkers'!$B:$I,2,0)&lt;=K$8,VLOOKUP($B12,'1. Invulsheet medewerkers'!$B:$I,8,0),0),)</f>
        <v>7920</v>
      </c>
      <c r="L12" s="205">
        <f ca="1">IF($B12&gt;0,IF(VLOOKUP($B12,'1. Invulsheet medewerkers'!$B:$I,2,0)&lt;=L$8,VLOOKUP($B12,'1. Invulsheet medewerkers'!$B:$I,8,0),0),)</f>
        <v>7920</v>
      </c>
      <c r="M12" s="205">
        <f ca="1">IF($B12&gt;0,IF(VLOOKUP($B12,'1. Invulsheet medewerkers'!$B:$I,2,0)&lt;=M$8,VLOOKUP($B12,'1. Invulsheet medewerkers'!$B:$I,8,0),0),)</f>
        <v>7920</v>
      </c>
      <c r="N12" s="206">
        <f ca="1">IF($B12&gt;0,IF(VLOOKUP($B12,'1. Invulsheet medewerkers'!$B:$I,2,0)&lt;=N$8,VLOOKUP($B12,'1. Invulsheet medewerkers'!$B:$I,8,0),0),)</f>
        <v>7920</v>
      </c>
      <c r="O12" s="200">
        <f t="shared" ca="1" si="1"/>
        <v>95040</v>
      </c>
      <c r="P12" s="191" t="str">
        <f ca="1">IF(VLOOKUP(B12,'1. Invulsheet medewerkers'!B:N,13,0)&gt;0,"d","i")</f>
        <v>d</v>
      </c>
      <c r="Q12" s="31"/>
      <c r="R12" s="31"/>
      <c r="S12" s="31"/>
      <c r="T12" s="31"/>
      <c r="U12" s="31"/>
      <c r="V12" s="31"/>
      <c r="W12" s="31"/>
      <c r="X12" s="31"/>
      <c r="Y12" s="31"/>
      <c r="Z12" s="30"/>
    </row>
    <row r="13" spans="1:26" x14ac:dyDescent="0.2">
      <c r="A13" s="30"/>
      <c r="B13" s="201" t="str">
        <f ca="1">IFERROR(__xludf.DUMMYFUNCTION("""COMPUTED_VALUE"""),"Medewerker 4")</f>
        <v>Medewerker 4</v>
      </c>
      <c r="C13" s="202">
        <f ca="1">IF($B13&gt;0,IF(VLOOKUP($B13,'1. Invulsheet medewerkers'!$B:$I,2,0)&lt;=C$8,VLOOKUP($B13,'1. Invulsheet medewerkers'!$B:$I,8,0),0),)</f>
        <v>5280</v>
      </c>
      <c r="D13" s="202">
        <f ca="1">IF($B13&gt;0,IF(VLOOKUP($B13,'1. Invulsheet medewerkers'!$B:$I,2,0)&lt;=D$8,VLOOKUP($B13,'1. Invulsheet medewerkers'!$B:$I,8,0),0),)</f>
        <v>5280</v>
      </c>
      <c r="E13" s="202">
        <f ca="1">IF($B13&gt;0,IF(VLOOKUP($B13,'1. Invulsheet medewerkers'!$B:$I,2,0)&lt;=E$8,VLOOKUP($B13,'1. Invulsheet medewerkers'!$B:$I,8,0),0),)</f>
        <v>5280</v>
      </c>
      <c r="F13" s="202">
        <f ca="1">IF($B13&gt;0,IF(VLOOKUP($B13,'1. Invulsheet medewerkers'!$B:$I,2,0)&lt;=F$8,VLOOKUP($B13,'1. Invulsheet medewerkers'!$B:$I,8,0),0),)</f>
        <v>5280</v>
      </c>
      <c r="G13" s="202">
        <f ca="1">IF($B13&gt;0,IF(VLOOKUP($B13,'1. Invulsheet medewerkers'!$B:$I,2,0)&lt;=G$8,VLOOKUP($B13,'1. Invulsheet medewerkers'!$B:$I,8,0),0),)</f>
        <v>5280</v>
      </c>
      <c r="H13" s="202">
        <f ca="1">IF($B13&gt;0,IF(VLOOKUP($B13,'1. Invulsheet medewerkers'!$B:$I,2,0)&lt;=H$8,VLOOKUP($B13,'1. Invulsheet medewerkers'!$B:$I,8,0),0),)</f>
        <v>5280</v>
      </c>
      <c r="I13" s="202">
        <f ca="1">IF($B13&gt;0,IF(VLOOKUP($B13,'1. Invulsheet medewerkers'!$B:$I,2,0)&lt;=I$8,VLOOKUP($B13,'1. Invulsheet medewerkers'!$B:$I,8,0),0),)</f>
        <v>5280</v>
      </c>
      <c r="J13" s="202">
        <f ca="1">IF($B13&gt;0,IF(VLOOKUP($B13,'1. Invulsheet medewerkers'!$B:$I,2,0)&lt;=J$8,VLOOKUP($B13,'1. Invulsheet medewerkers'!$B:$I,8,0),0),)</f>
        <v>5280</v>
      </c>
      <c r="K13" s="202">
        <f ca="1">IF($B13&gt;0,IF(VLOOKUP($B13,'1. Invulsheet medewerkers'!$B:$I,2,0)&lt;=K$8,VLOOKUP($B13,'1. Invulsheet medewerkers'!$B:$I,8,0),0),)</f>
        <v>5280</v>
      </c>
      <c r="L13" s="202">
        <f ca="1">IF($B13&gt;0,IF(VLOOKUP($B13,'1. Invulsheet medewerkers'!$B:$I,2,0)&lt;=L$8,VLOOKUP($B13,'1. Invulsheet medewerkers'!$B:$I,8,0),0),)</f>
        <v>5280</v>
      </c>
      <c r="M13" s="202">
        <f ca="1">IF($B13&gt;0,IF(VLOOKUP($B13,'1. Invulsheet medewerkers'!$B:$I,2,0)&lt;=M$8,VLOOKUP($B13,'1. Invulsheet medewerkers'!$B:$I,8,0),0),)</f>
        <v>5280</v>
      </c>
      <c r="N13" s="203">
        <f ca="1">IF($B13&gt;0,IF(VLOOKUP($B13,'1. Invulsheet medewerkers'!$B:$I,2,0)&lt;=N$8,VLOOKUP($B13,'1. Invulsheet medewerkers'!$B:$I,8,0),0),)</f>
        <v>5280</v>
      </c>
      <c r="O13" s="200">
        <f t="shared" ca="1" si="1"/>
        <v>63360</v>
      </c>
      <c r="P13" s="191" t="str">
        <f ca="1">IF(VLOOKUP(B13,'1. Invulsheet medewerkers'!B:N,13,0)&gt;0,"d","i")</f>
        <v>d</v>
      </c>
      <c r="Q13" s="31"/>
      <c r="R13" s="31"/>
      <c r="S13" s="31"/>
      <c r="T13" s="31"/>
      <c r="U13" s="31"/>
      <c r="V13" s="31"/>
      <c r="W13" s="31"/>
      <c r="X13" s="31"/>
      <c r="Y13" s="31"/>
      <c r="Z13" s="30"/>
    </row>
    <row r="14" spans="1:26" x14ac:dyDescent="0.2">
      <c r="A14" s="30"/>
      <c r="B14" s="204" t="str">
        <f ca="1">IFERROR(__xludf.DUMMYFUNCTION("""COMPUTED_VALUE"""),"Medewerker 5")</f>
        <v>Medewerker 5</v>
      </c>
      <c r="C14" s="205">
        <f ca="1">IF($B14&gt;0,IF(VLOOKUP($B14,'1. Invulsheet medewerkers'!$B:$I,2,0)&lt;=C$8,VLOOKUP($B14,'1. Invulsheet medewerkers'!$B:$I,8,0),0),)</f>
        <v>5280</v>
      </c>
      <c r="D14" s="205">
        <f ca="1">IF($B14&gt;0,IF(VLOOKUP($B14,'1. Invulsheet medewerkers'!$B:$I,2,0)&lt;=D$8,VLOOKUP($B14,'1. Invulsheet medewerkers'!$B:$I,8,0),0),)</f>
        <v>5280</v>
      </c>
      <c r="E14" s="205">
        <f ca="1">IF($B14&gt;0,IF(VLOOKUP($B14,'1. Invulsheet medewerkers'!$B:$I,2,0)&lt;=E$8,VLOOKUP($B14,'1. Invulsheet medewerkers'!$B:$I,8,0),0),)</f>
        <v>5280</v>
      </c>
      <c r="F14" s="205">
        <f ca="1">IF($B14&gt;0,IF(VLOOKUP($B14,'1. Invulsheet medewerkers'!$B:$I,2,0)&lt;=F$8,VLOOKUP($B14,'1. Invulsheet medewerkers'!$B:$I,8,0),0),)</f>
        <v>5280</v>
      </c>
      <c r="G14" s="205">
        <f ca="1">IF($B14&gt;0,IF(VLOOKUP($B14,'1. Invulsheet medewerkers'!$B:$I,2,0)&lt;=G$8,VLOOKUP($B14,'1. Invulsheet medewerkers'!$B:$I,8,0),0),)</f>
        <v>5280</v>
      </c>
      <c r="H14" s="205">
        <f ca="1">IF($B14&gt;0,IF(VLOOKUP($B14,'1. Invulsheet medewerkers'!$B:$I,2,0)&lt;=H$8,VLOOKUP($B14,'1. Invulsheet medewerkers'!$B:$I,8,0),0),)</f>
        <v>5280</v>
      </c>
      <c r="I14" s="205">
        <f ca="1">IF($B14&gt;0,IF(VLOOKUP($B14,'1. Invulsheet medewerkers'!$B:$I,2,0)&lt;=I$8,VLOOKUP($B14,'1. Invulsheet medewerkers'!$B:$I,8,0),0),)</f>
        <v>5280</v>
      </c>
      <c r="J14" s="205">
        <f ca="1">IF($B14&gt;0,IF(VLOOKUP($B14,'1. Invulsheet medewerkers'!$B:$I,2,0)&lt;=J$8,VLOOKUP($B14,'1. Invulsheet medewerkers'!$B:$I,8,0),0),)</f>
        <v>5280</v>
      </c>
      <c r="K14" s="205">
        <f ca="1">IF($B14&gt;0,IF(VLOOKUP($B14,'1. Invulsheet medewerkers'!$B:$I,2,0)&lt;=K$8,VLOOKUP($B14,'1. Invulsheet medewerkers'!$B:$I,8,0),0),)</f>
        <v>5280</v>
      </c>
      <c r="L14" s="205">
        <f ca="1">IF($B14&gt;0,IF(VLOOKUP($B14,'1. Invulsheet medewerkers'!$B:$I,2,0)&lt;=L$8,VLOOKUP($B14,'1. Invulsheet medewerkers'!$B:$I,8,0),0),)</f>
        <v>5280</v>
      </c>
      <c r="M14" s="205">
        <f ca="1">IF($B14&gt;0,IF(VLOOKUP($B14,'1. Invulsheet medewerkers'!$B:$I,2,0)&lt;=M$8,VLOOKUP($B14,'1. Invulsheet medewerkers'!$B:$I,8,0),0),)</f>
        <v>5280</v>
      </c>
      <c r="N14" s="206">
        <f ca="1">IF($B14&gt;0,IF(VLOOKUP($B14,'1. Invulsheet medewerkers'!$B:$I,2,0)&lt;=N$8,VLOOKUP($B14,'1. Invulsheet medewerkers'!$B:$I,8,0),0),)</f>
        <v>5280</v>
      </c>
      <c r="O14" s="200">
        <f t="shared" ca="1" si="1"/>
        <v>63360</v>
      </c>
      <c r="P14" s="191" t="str">
        <f ca="1">IF(VLOOKUP(B14,'1. Invulsheet medewerkers'!B:N,13,0)&gt;0,"d","i")</f>
        <v>d</v>
      </c>
      <c r="Q14" s="31"/>
      <c r="R14" s="31"/>
      <c r="S14" s="31"/>
      <c r="T14" s="31"/>
      <c r="U14" s="31"/>
      <c r="V14" s="31"/>
      <c r="W14" s="31"/>
      <c r="X14" s="31"/>
      <c r="Y14" s="31"/>
      <c r="Z14" s="30"/>
    </row>
    <row r="15" spans="1:26" x14ac:dyDescent="0.2">
      <c r="A15" s="30"/>
      <c r="B15" s="201" t="str">
        <f ca="1">IFERROR(__xludf.DUMMYFUNCTION("""COMPUTED_VALUE"""),"Medewerker 6")</f>
        <v>Medewerker 6</v>
      </c>
      <c r="C15" s="202">
        <f ca="1">IF($B15&gt;0,IF(VLOOKUP($B15,'1. Invulsheet medewerkers'!$B:$I,2,0)&lt;=C$8,VLOOKUP($B15,'1. Invulsheet medewerkers'!$B:$I,8,0),0),)</f>
        <v>4224</v>
      </c>
      <c r="D15" s="202">
        <f ca="1">IF($B15&gt;0,IF(VLOOKUP($B15,'1. Invulsheet medewerkers'!$B:$I,2,0)&lt;=D$8,VLOOKUP($B15,'1. Invulsheet medewerkers'!$B:$I,8,0),0),)</f>
        <v>4224</v>
      </c>
      <c r="E15" s="202">
        <f ca="1">IF($B15&gt;0,IF(VLOOKUP($B15,'1. Invulsheet medewerkers'!$B:$I,2,0)&lt;=E$8,VLOOKUP($B15,'1. Invulsheet medewerkers'!$B:$I,8,0),0),)</f>
        <v>4224</v>
      </c>
      <c r="F15" s="202">
        <f ca="1">IF($B15&gt;0,IF(VLOOKUP($B15,'1. Invulsheet medewerkers'!$B:$I,2,0)&lt;=F$8,VLOOKUP($B15,'1. Invulsheet medewerkers'!$B:$I,8,0),0),)</f>
        <v>4224</v>
      </c>
      <c r="G15" s="202">
        <f ca="1">IF($B15&gt;0,IF(VLOOKUP($B15,'1. Invulsheet medewerkers'!$B:$I,2,0)&lt;=G$8,VLOOKUP($B15,'1. Invulsheet medewerkers'!$B:$I,8,0),0),)</f>
        <v>4224</v>
      </c>
      <c r="H15" s="202">
        <f ca="1">IF($B15&gt;0,IF(VLOOKUP($B15,'1. Invulsheet medewerkers'!$B:$I,2,0)&lt;=H$8,VLOOKUP($B15,'1. Invulsheet medewerkers'!$B:$I,8,0),0),)</f>
        <v>4224</v>
      </c>
      <c r="I15" s="202">
        <f ca="1">IF($B15&gt;0,IF(VLOOKUP($B15,'1. Invulsheet medewerkers'!$B:$I,2,0)&lt;=I$8,VLOOKUP($B15,'1. Invulsheet medewerkers'!$B:$I,8,0),0),)</f>
        <v>4224</v>
      </c>
      <c r="J15" s="202">
        <f ca="1">IF($B15&gt;0,IF(VLOOKUP($B15,'1. Invulsheet medewerkers'!$B:$I,2,0)&lt;=J$8,VLOOKUP($B15,'1. Invulsheet medewerkers'!$B:$I,8,0),0),)</f>
        <v>4224</v>
      </c>
      <c r="K15" s="202">
        <f ca="1">IF($B15&gt;0,IF(VLOOKUP($B15,'1. Invulsheet medewerkers'!$B:$I,2,0)&lt;=K$8,VLOOKUP($B15,'1. Invulsheet medewerkers'!$B:$I,8,0),0),)</f>
        <v>4224</v>
      </c>
      <c r="L15" s="202">
        <f ca="1">IF($B15&gt;0,IF(VLOOKUP($B15,'1. Invulsheet medewerkers'!$B:$I,2,0)&lt;=L$8,VLOOKUP($B15,'1. Invulsheet medewerkers'!$B:$I,8,0),0),)</f>
        <v>4224</v>
      </c>
      <c r="M15" s="202">
        <f ca="1">IF($B15&gt;0,IF(VLOOKUP($B15,'1. Invulsheet medewerkers'!$B:$I,2,0)&lt;=M$8,VLOOKUP($B15,'1. Invulsheet medewerkers'!$B:$I,8,0),0),)</f>
        <v>4224</v>
      </c>
      <c r="N15" s="203">
        <f ca="1">IF($B15&gt;0,IF(VLOOKUP($B15,'1. Invulsheet medewerkers'!$B:$I,2,0)&lt;=N$8,VLOOKUP($B15,'1. Invulsheet medewerkers'!$B:$I,8,0),0),)</f>
        <v>4224</v>
      </c>
      <c r="O15" s="200">
        <f t="shared" ca="1" si="1"/>
        <v>50688</v>
      </c>
      <c r="P15" s="191" t="str">
        <f ca="1">IF(VLOOKUP(B15,'1. Invulsheet medewerkers'!B:N,13,0)&gt;0,"d","i")</f>
        <v>d</v>
      </c>
      <c r="Q15" s="31"/>
      <c r="R15" s="31"/>
      <c r="S15" s="31"/>
      <c r="T15" s="31"/>
      <c r="U15" s="31"/>
      <c r="V15" s="31"/>
      <c r="W15" s="31"/>
      <c r="X15" s="31"/>
      <c r="Y15" s="31"/>
      <c r="Z15" s="30"/>
    </row>
    <row r="16" spans="1:26" x14ac:dyDescent="0.2">
      <c r="A16" s="30"/>
      <c r="B16" s="204" t="str">
        <f ca="1">IFERROR(__xludf.DUMMYFUNCTION("""COMPUTED_VALUE"""),"Medewerker 7")</f>
        <v>Medewerker 7</v>
      </c>
      <c r="C16" s="205">
        <f ca="1">IF($B16&gt;0,IF(VLOOKUP($B16,'1. Invulsheet medewerkers'!$B:$I,2,0)&lt;=C$8,VLOOKUP($B16,'1. Invulsheet medewerkers'!$B:$I,8,0),0),)</f>
        <v>4620</v>
      </c>
      <c r="D16" s="205">
        <f ca="1">IF($B16&gt;0,IF(VLOOKUP($B16,'1. Invulsheet medewerkers'!$B:$I,2,0)&lt;=D$8,VLOOKUP($B16,'1. Invulsheet medewerkers'!$B:$I,8,0),0),)</f>
        <v>4620</v>
      </c>
      <c r="E16" s="205">
        <f ca="1">IF($B16&gt;0,IF(VLOOKUP($B16,'1. Invulsheet medewerkers'!$B:$I,2,0)&lt;=E$8,VLOOKUP($B16,'1. Invulsheet medewerkers'!$B:$I,8,0),0),)</f>
        <v>4620</v>
      </c>
      <c r="F16" s="205">
        <f ca="1">IF($B16&gt;0,IF(VLOOKUP($B16,'1. Invulsheet medewerkers'!$B:$I,2,0)&lt;=F$8,VLOOKUP($B16,'1. Invulsheet medewerkers'!$B:$I,8,0),0),)</f>
        <v>4620</v>
      </c>
      <c r="G16" s="205">
        <f ca="1">IF($B16&gt;0,IF(VLOOKUP($B16,'1. Invulsheet medewerkers'!$B:$I,2,0)&lt;=G$8,VLOOKUP($B16,'1. Invulsheet medewerkers'!$B:$I,8,0),0),)</f>
        <v>4620</v>
      </c>
      <c r="H16" s="205">
        <f ca="1">IF($B16&gt;0,IF(VLOOKUP($B16,'1. Invulsheet medewerkers'!$B:$I,2,0)&lt;=H$8,VLOOKUP($B16,'1. Invulsheet medewerkers'!$B:$I,8,0),0),)</f>
        <v>4620</v>
      </c>
      <c r="I16" s="205">
        <f ca="1">IF($B16&gt;0,IF(VLOOKUP($B16,'1. Invulsheet medewerkers'!$B:$I,2,0)&lt;=I$8,VLOOKUP($B16,'1. Invulsheet medewerkers'!$B:$I,8,0),0),)</f>
        <v>4620</v>
      </c>
      <c r="J16" s="205">
        <f ca="1">IF($B16&gt;0,IF(VLOOKUP($B16,'1. Invulsheet medewerkers'!$B:$I,2,0)&lt;=J$8,VLOOKUP($B16,'1. Invulsheet medewerkers'!$B:$I,8,0),0),)</f>
        <v>4620</v>
      </c>
      <c r="K16" s="205">
        <f ca="1">IF($B16&gt;0,IF(VLOOKUP($B16,'1. Invulsheet medewerkers'!$B:$I,2,0)&lt;=K$8,VLOOKUP($B16,'1. Invulsheet medewerkers'!$B:$I,8,0),0),)</f>
        <v>4620</v>
      </c>
      <c r="L16" s="205">
        <f ca="1">IF($B16&gt;0,IF(VLOOKUP($B16,'1. Invulsheet medewerkers'!$B:$I,2,0)&lt;=L$8,VLOOKUP($B16,'1. Invulsheet medewerkers'!$B:$I,8,0),0),)</f>
        <v>4620</v>
      </c>
      <c r="M16" s="205">
        <f ca="1">IF($B16&gt;0,IF(VLOOKUP($B16,'1. Invulsheet medewerkers'!$B:$I,2,0)&lt;=M$8,VLOOKUP($B16,'1. Invulsheet medewerkers'!$B:$I,8,0),0),)</f>
        <v>4620</v>
      </c>
      <c r="N16" s="206">
        <f ca="1">IF($B16&gt;0,IF(VLOOKUP($B16,'1. Invulsheet medewerkers'!$B:$I,2,0)&lt;=N$8,VLOOKUP($B16,'1. Invulsheet medewerkers'!$B:$I,8,0),0),)</f>
        <v>4620</v>
      </c>
      <c r="O16" s="200">
        <f t="shared" ca="1" si="1"/>
        <v>55440</v>
      </c>
      <c r="P16" s="191" t="str">
        <f ca="1">IF(VLOOKUP(B16,'1. Invulsheet medewerkers'!B:N,13,0)&gt;0,"d","i")</f>
        <v>d</v>
      </c>
      <c r="Q16" s="31"/>
      <c r="R16" s="31"/>
      <c r="S16" s="31"/>
      <c r="T16" s="31"/>
      <c r="U16" s="31"/>
      <c r="V16" s="31"/>
      <c r="W16" s="31"/>
      <c r="X16" s="31"/>
      <c r="Y16" s="31"/>
      <c r="Z16" s="30"/>
    </row>
    <row r="17" spans="1:26" x14ac:dyDescent="0.2">
      <c r="A17" s="30"/>
      <c r="B17" s="201" t="str">
        <f ca="1">IFERROR(__xludf.DUMMYFUNCTION("""COMPUTED_VALUE"""),"Vacature 1")</f>
        <v>Vacature 1</v>
      </c>
      <c r="C17" s="202">
        <f ca="1">IF($B17&gt;0,IF(VLOOKUP($B17,'1. Invulsheet medewerkers'!$B:$I,2,0)&lt;=C$8,VLOOKUP($B17,'1. Invulsheet medewerkers'!$B:$I,8,0),0),)</f>
        <v>0</v>
      </c>
      <c r="D17" s="202">
        <f ca="1">IF($B17&gt;0,IF(VLOOKUP($B17,'1. Invulsheet medewerkers'!$B:$I,2,0)&lt;=D$8,VLOOKUP($B17,'1. Invulsheet medewerkers'!$B:$I,8,0),0),)</f>
        <v>0</v>
      </c>
      <c r="E17" s="202">
        <f ca="1">IF($B17&gt;0,IF(VLOOKUP($B17,'1. Invulsheet medewerkers'!$B:$I,2,0)&lt;=E$8,VLOOKUP($B17,'1. Invulsheet medewerkers'!$B:$I,8,0),0),)</f>
        <v>0</v>
      </c>
      <c r="F17" s="202">
        <f ca="1">IF($B17&gt;0,IF(VLOOKUP($B17,'1. Invulsheet medewerkers'!$B:$I,2,0)&lt;=F$8,VLOOKUP($B17,'1. Invulsheet medewerkers'!$B:$I,8,0),0),)</f>
        <v>6600</v>
      </c>
      <c r="G17" s="202">
        <f ca="1">IF($B17&gt;0,IF(VLOOKUP($B17,'1. Invulsheet medewerkers'!$B:$I,2,0)&lt;=G$8,VLOOKUP($B17,'1. Invulsheet medewerkers'!$B:$I,8,0),0),)</f>
        <v>6600</v>
      </c>
      <c r="H17" s="202">
        <f ca="1">IF($B17&gt;0,IF(VLOOKUP($B17,'1. Invulsheet medewerkers'!$B:$I,2,0)&lt;=H$8,VLOOKUP($B17,'1. Invulsheet medewerkers'!$B:$I,8,0),0),)</f>
        <v>6600</v>
      </c>
      <c r="I17" s="202">
        <f ca="1">IF($B17&gt;0,IF(VLOOKUP($B17,'1. Invulsheet medewerkers'!$B:$I,2,0)&lt;=I$8,VLOOKUP($B17,'1. Invulsheet medewerkers'!$B:$I,8,0),0),)</f>
        <v>6600</v>
      </c>
      <c r="J17" s="202">
        <f ca="1">IF($B17&gt;0,IF(VLOOKUP($B17,'1. Invulsheet medewerkers'!$B:$I,2,0)&lt;=J$8,VLOOKUP($B17,'1. Invulsheet medewerkers'!$B:$I,8,0),0),)</f>
        <v>6600</v>
      </c>
      <c r="K17" s="202">
        <f ca="1">IF($B17&gt;0,IF(VLOOKUP($B17,'1. Invulsheet medewerkers'!$B:$I,2,0)&lt;=K$8,VLOOKUP($B17,'1. Invulsheet medewerkers'!$B:$I,8,0),0),)</f>
        <v>6600</v>
      </c>
      <c r="L17" s="202">
        <f ca="1">IF($B17&gt;0,IF(VLOOKUP($B17,'1. Invulsheet medewerkers'!$B:$I,2,0)&lt;=L$8,VLOOKUP($B17,'1. Invulsheet medewerkers'!$B:$I,8,0),0),)</f>
        <v>6600</v>
      </c>
      <c r="M17" s="202">
        <f ca="1">IF($B17&gt;0,IF(VLOOKUP($B17,'1. Invulsheet medewerkers'!$B:$I,2,0)&lt;=M$8,VLOOKUP($B17,'1. Invulsheet medewerkers'!$B:$I,8,0),0),)</f>
        <v>6600</v>
      </c>
      <c r="N17" s="203">
        <f ca="1">IF($B17&gt;0,IF(VLOOKUP($B17,'1. Invulsheet medewerkers'!$B:$I,2,0)&lt;=N$8,VLOOKUP($B17,'1. Invulsheet medewerkers'!$B:$I,8,0),0),)</f>
        <v>6600</v>
      </c>
      <c r="O17" s="200">
        <f t="shared" ca="1" si="1"/>
        <v>59400</v>
      </c>
      <c r="P17" s="191" t="str">
        <f ca="1">IF(VLOOKUP(B17,'1. Invulsheet medewerkers'!B:N,13,0)&gt;0,"d","i")</f>
        <v>d</v>
      </c>
      <c r="Q17" s="31"/>
      <c r="R17" s="31"/>
      <c r="S17" s="31"/>
      <c r="T17" s="31"/>
      <c r="U17" s="31"/>
      <c r="V17" s="31"/>
      <c r="W17" s="31"/>
      <c r="X17" s="31"/>
      <c r="Y17" s="31"/>
      <c r="Z17" s="30"/>
    </row>
    <row r="18" spans="1:26" x14ac:dyDescent="0.2">
      <c r="A18" s="30"/>
      <c r="B18" s="204" t="str">
        <f ca="1">IFERROR(__xludf.DUMMYFUNCTION("""COMPUTED_VALUE"""),"Vacature 2")</f>
        <v>Vacature 2</v>
      </c>
      <c r="C18" s="205">
        <f ca="1">IF($B18&gt;0,IF(VLOOKUP($B18,'1. Invulsheet medewerkers'!$B:$I,2,0)&lt;=C$8,VLOOKUP($B18,'1. Invulsheet medewerkers'!$B:$I,8,0),0),)</f>
        <v>0</v>
      </c>
      <c r="D18" s="205">
        <f ca="1">IF($B18&gt;0,IF(VLOOKUP($B18,'1. Invulsheet medewerkers'!$B:$I,2,0)&lt;=D$8,VLOOKUP($B18,'1. Invulsheet medewerkers'!$B:$I,8,0),0),)</f>
        <v>0</v>
      </c>
      <c r="E18" s="205">
        <f ca="1">IF($B18&gt;0,IF(VLOOKUP($B18,'1. Invulsheet medewerkers'!$B:$I,2,0)&lt;=E$8,VLOOKUP($B18,'1. Invulsheet medewerkers'!$B:$I,8,0),0),)</f>
        <v>0</v>
      </c>
      <c r="F18" s="205">
        <f ca="1">IF($B18&gt;0,IF(VLOOKUP($B18,'1. Invulsheet medewerkers'!$B:$I,2,0)&lt;=F$8,VLOOKUP($B18,'1. Invulsheet medewerkers'!$B:$I,8,0),0),)</f>
        <v>0</v>
      </c>
      <c r="G18" s="205">
        <f ca="1">IF($B18&gt;0,IF(VLOOKUP($B18,'1. Invulsheet medewerkers'!$B:$I,2,0)&lt;=G$8,VLOOKUP($B18,'1. Invulsheet medewerkers'!$B:$I,8,0),0),)</f>
        <v>3960</v>
      </c>
      <c r="H18" s="205">
        <f ca="1">IF($B18&gt;0,IF(VLOOKUP($B18,'1. Invulsheet medewerkers'!$B:$I,2,0)&lt;=H$8,VLOOKUP($B18,'1. Invulsheet medewerkers'!$B:$I,8,0),0),)</f>
        <v>3960</v>
      </c>
      <c r="I18" s="205">
        <f ca="1">IF($B18&gt;0,IF(VLOOKUP($B18,'1. Invulsheet medewerkers'!$B:$I,2,0)&lt;=I$8,VLOOKUP($B18,'1. Invulsheet medewerkers'!$B:$I,8,0),0),)</f>
        <v>3960</v>
      </c>
      <c r="J18" s="205">
        <f ca="1">IF($B18&gt;0,IF(VLOOKUP($B18,'1. Invulsheet medewerkers'!$B:$I,2,0)&lt;=J$8,VLOOKUP($B18,'1. Invulsheet medewerkers'!$B:$I,8,0),0),)</f>
        <v>3960</v>
      </c>
      <c r="K18" s="205">
        <f ca="1">IF($B18&gt;0,IF(VLOOKUP($B18,'1. Invulsheet medewerkers'!$B:$I,2,0)&lt;=K$8,VLOOKUP($B18,'1. Invulsheet medewerkers'!$B:$I,8,0),0),)</f>
        <v>3960</v>
      </c>
      <c r="L18" s="205">
        <f ca="1">IF($B18&gt;0,IF(VLOOKUP($B18,'1. Invulsheet medewerkers'!$B:$I,2,0)&lt;=L$8,VLOOKUP($B18,'1. Invulsheet medewerkers'!$B:$I,8,0),0),)</f>
        <v>3960</v>
      </c>
      <c r="M18" s="205">
        <f ca="1">IF($B18&gt;0,IF(VLOOKUP($B18,'1. Invulsheet medewerkers'!$B:$I,2,0)&lt;=M$8,VLOOKUP($B18,'1. Invulsheet medewerkers'!$B:$I,8,0),0),)</f>
        <v>3960</v>
      </c>
      <c r="N18" s="206">
        <f ca="1">IF($B18&gt;0,IF(VLOOKUP($B18,'1. Invulsheet medewerkers'!$B:$I,2,0)&lt;=N$8,VLOOKUP($B18,'1. Invulsheet medewerkers'!$B:$I,8,0),0),)</f>
        <v>3960</v>
      </c>
      <c r="O18" s="200">
        <f t="shared" ca="1" si="1"/>
        <v>31680</v>
      </c>
      <c r="P18" s="191" t="str">
        <f ca="1">IF(VLOOKUP(B18,'1. Invulsheet medewerkers'!B:N,13,0)&gt;0,"d","i")</f>
        <v>d</v>
      </c>
      <c r="Q18" s="31"/>
      <c r="R18" s="31"/>
      <c r="S18" s="31"/>
      <c r="T18" s="31"/>
      <c r="U18" s="31"/>
      <c r="V18" s="31"/>
      <c r="W18" s="31"/>
      <c r="X18" s="31"/>
      <c r="Y18" s="31"/>
      <c r="Z18" s="30"/>
    </row>
    <row r="19" spans="1:26" x14ac:dyDescent="0.2">
      <c r="A19" s="30"/>
      <c r="B19" s="201" t="str">
        <f ca="1">IFERROR(__xludf.DUMMYFUNCTION("""COMPUTED_VALUE"""),"Medewerker 21")</f>
        <v>Medewerker 21</v>
      </c>
      <c r="C19" s="202">
        <f ca="1">IF($B19&gt;0,IF(VLOOKUP($B19,'1. Invulsheet medewerkers'!$B:$I,2,0)&lt;=C$8,VLOOKUP($B19,'1. Invulsheet medewerkers'!$B:$I,8,0),0),)</f>
        <v>4224</v>
      </c>
      <c r="D19" s="202">
        <f ca="1">IF($B19&gt;0,IF(VLOOKUP($B19,'1. Invulsheet medewerkers'!$B:$I,2,0)&lt;=D$8,VLOOKUP($B19,'1. Invulsheet medewerkers'!$B:$I,8,0),0),)</f>
        <v>4224</v>
      </c>
      <c r="E19" s="202">
        <f ca="1">IF($B19&gt;0,IF(VLOOKUP($B19,'1. Invulsheet medewerkers'!$B:$I,2,0)&lt;=E$8,VLOOKUP($B19,'1. Invulsheet medewerkers'!$B:$I,8,0),0),)</f>
        <v>4224</v>
      </c>
      <c r="F19" s="202">
        <f ca="1">IF($B19&gt;0,IF(VLOOKUP($B19,'1. Invulsheet medewerkers'!$B:$I,2,0)&lt;=F$8,VLOOKUP($B19,'1. Invulsheet medewerkers'!$B:$I,8,0),0),)</f>
        <v>4224</v>
      </c>
      <c r="G19" s="202">
        <f ca="1">IF($B19&gt;0,IF(VLOOKUP($B19,'1. Invulsheet medewerkers'!$B:$I,2,0)&lt;=G$8,VLOOKUP($B19,'1. Invulsheet medewerkers'!$B:$I,8,0),0),)</f>
        <v>4224</v>
      </c>
      <c r="H19" s="202">
        <f ca="1">IF($B19&gt;0,IF(VLOOKUP($B19,'1. Invulsheet medewerkers'!$B:$I,2,0)&lt;=H$8,VLOOKUP($B19,'1. Invulsheet medewerkers'!$B:$I,8,0),0),)</f>
        <v>4224</v>
      </c>
      <c r="I19" s="202">
        <f ca="1">IF($B19&gt;0,IF(VLOOKUP($B19,'1. Invulsheet medewerkers'!$B:$I,2,0)&lt;=I$8,VLOOKUP($B19,'1. Invulsheet medewerkers'!$B:$I,8,0),0),)</f>
        <v>4224</v>
      </c>
      <c r="J19" s="202">
        <f ca="1">IF($B19&gt;0,IF(VLOOKUP($B19,'1. Invulsheet medewerkers'!$B:$I,2,0)&lt;=J$8,VLOOKUP($B19,'1. Invulsheet medewerkers'!$B:$I,8,0),0),)</f>
        <v>4224</v>
      </c>
      <c r="K19" s="202">
        <f ca="1">IF($B19&gt;0,IF(VLOOKUP($B19,'1. Invulsheet medewerkers'!$B:$I,2,0)&lt;=K$8,VLOOKUP($B19,'1. Invulsheet medewerkers'!$B:$I,8,0),0),)</f>
        <v>4224</v>
      </c>
      <c r="L19" s="202">
        <f ca="1">IF($B19&gt;0,IF(VLOOKUP($B19,'1. Invulsheet medewerkers'!$B:$I,2,0)&lt;=L$8,VLOOKUP($B19,'1. Invulsheet medewerkers'!$B:$I,8,0),0),)</f>
        <v>4224</v>
      </c>
      <c r="M19" s="202">
        <f ca="1">IF($B19&gt;0,IF(VLOOKUP($B19,'1. Invulsheet medewerkers'!$B:$I,2,0)&lt;=M$8,VLOOKUP($B19,'1. Invulsheet medewerkers'!$B:$I,8,0),0),)</f>
        <v>4224</v>
      </c>
      <c r="N19" s="203">
        <f ca="1">IF($B19&gt;0,IF(VLOOKUP($B19,'1. Invulsheet medewerkers'!$B:$I,2,0)&lt;=N$8,VLOOKUP($B19,'1. Invulsheet medewerkers'!$B:$I,8,0),0),)</f>
        <v>4224</v>
      </c>
      <c r="O19" s="200">
        <f t="shared" ca="1" si="1"/>
        <v>50688</v>
      </c>
      <c r="P19" s="191" t="str">
        <f ca="1">IF(VLOOKUP(B19,'1. Invulsheet medewerkers'!B:N,13,0)&gt;0,"d","i")</f>
        <v>i</v>
      </c>
      <c r="Q19" s="31"/>
      <c r="R19" s="31"/>
      <c r="S19" s="31"/>
      <c r="T19" s="31"/>
      <c r="U19" s="31"/>
      <c r="V19" s="31"/>
      <c r="W19" s="31"/>
      <c r="X19" s="31"/>
      <c r="Y19" s="31"/>
      <c r="Z19" s="30"/>
    </row>
    <row r="20" spans="1:26" x14ac:dyDescent="0.2">
      <c r="A20" s="30"/>
      <c r="B20" s="204" t="str">
        <f ca="1">IFERROR(__xludf.DUMMYFUNCTION("""COMPUTED_VALUE"""),"Medewerker 22")</f>
        <v>Medewerker 22</v>
      </c>
      <c r="C20" s="205">
        <f ca="1">IF($B20&gt;0,IF(VLOOKUP($B20,'1. Invulsheet medewerkers'!$B:$I,2,0)&lt;=C$8,VLOOKUP($B20,'1. Invulsheet medewerkers'!$B:$I,8,0),0),)</f>
        <v>4620</v>
      </c>
      <c r="D20" s="205">
        <f ca="1">IF($B20&gt;0,IF(VLOOKUP($B20,'1. Invulsheet medewerkers'!$B:$I,2,0)&lt;=D$8,VLOOKUP($B20,'1. Invulsheet medewerkers'!$B:$I,8,0),0),)</f>
        <v>4620</v>
      </c>
      <c r="E20" s="205">
        <f ca="1">IF($B20&gt;0,IF(VLOOKUP($B20,'1. Invulsheet medewerkers'!$B:$I,2,0)&lt;=E$8,VLOOKUP($B20,'1. Invulsheet medewerkers'!$B:$I,8,0),0),)</f>
        <v>4620</v>
      </c>
      <c r="F20" s="205">
        <f ca="1">IF($B20&gt;0,IF(VLOOKUP($B20,'1. Invulsheet medewerkers'!$B:$I,2,0)&lt;=F$8,VLOOKUP($B20,'1. Invulsheet medewerkers'!$B:$I,8,0),0),)</f>
        <v>4620</v>
      </c>
      <c r="G20" s="205">
        <f ca="1">IF($B20&gt;0,IF(VLOOKUP($B20,'1. Invulsheet medewerkers'!$B:$I,2,0)&lt;=G$8,VLOOKUP($B20,'1. Invulsheet medewerkers'!$B:$I,8,0),0),)</f>
        <v>4620</v>
      </c>
      <c r="H20" s="205">
        <f ca="1">IF($B20&gt;0,IF(VLOOKUP($B20,'1. Invulsheet medewerkers'!$B:$I,2,0)&lt;=H$8,VLOOKUP($B20,'1. Invulsheet medewerkers'!$B:$I,8,0),0),)</f>
        <v>4620</v>
      </c>
      <c r="I20" s="205">
        <f ca="1">IF($B20&gt;0,IF(VLOOKUP($B20,'1. Invulsheet medewerkers'!$B:$I,2,0)&lt;=I$8,VLOOKUP($B20,'1. Invulsheet medewerkers'!$B:$I,8,0),0),)</f>
        <v>4620</v>
      </c>
      <c r="J20" s="205">
        <f ca="1">IF($B20&gt;0,IF(VLOOKUP($B20,'1. Invulsheet medewerkers'!$B:$I,2,0)&lt;=J$8,VLOOKUP($B20,'1. Invulsheet medewerkers'!$B:$I,8,0),0),)</f>
        <v>4620</v>
      </c>
      <c r="K20" s="205">
        <f ca="1">IF($B20&gt;0,IF(VLOOKUP($B20,'1. Invulsheet medewerkers'!$B:$I,2,0)&lt;=K$8,VLOOKUP($B20,'1. Invulsheet medewerkers'!$B:$I,8,0),0),)</f>
        <v>4620</v>
      </c>
      <c r="L20" s="205">
        <f ca="1">IF($B20&gt;0,IF(VLOOKUP($B20,'1. Invulsheet medewerkers'!$B:$I,2,0)&lt;=L$8,VLOOKUP($B20,'1. Invulsheet medewerkers'!$B:$I,8,0),0),)</f>
        <v>4620</v>
      </c>
      <c r="M20" s="205">
        <f ca="1">IF($B20&gt;0,IF(VLOOKUP($B20,'1. Invulsheet medewerkers'!$B:$I,2,0)&lt;=M$8,VLOOKUP($B20,'1. Invulsheet medewerkers'!$B:$I,8,0),0),)</f>
        <v>4620</v>
      </c>
      <c r="N20" s="206">
        <f ca="1">IF($B20&gt;0,IF(VLOOKUP($B20,'1. Invulsheet medewerkers'!$B:$I,2,0)&lt;=N$8,VLOOKUP($B20,'1. Invulsheet medewerkers'!$B:$I,8,0),0),)</f>
        <v>4620</v>
      </c>
      <c r="O20" s="200">
        <f t="shared" ca="1" si="1"/>
        <v>55440</v>
      </c>
      <c r="P20" s="191" t="str">
        <f ca="1">IF(VLOOKUP(B20,'1. Invulsheet medewerkers'!B:N,13,0)&gt;0,"d","i")</f>
        <v>i</v>
      </c>
      <c r="Q20" s="31"/>
      <c r="R20" s="31"/>
      <c r="S20" s="31"/>
      <c r="T20" s="31"/>
      <c r="U20" s="31"/>
      <c r="V20" s="31"/>
      <c r="W20" s="31"/>
      <c r="X20" s="31"/>
      <c r="Y20" s="31"/>
      <c r="Z20" s="30"/>
    </row>
    <row r="21" spans="1:26" x14ac:dyDescent="0.2">
      <c r="A21" s="30"/>
      <c r="B21" s="207" t="str">
        <f ca="1">IFERROR(__xludf.DUMMYFUNCTION("""COMPUTED_VALUE"""),"Vacature 5")</f>
        <v>Vacature 5</v>
      </c>
      <c r="C21" s="208">
        <f ca="1">IF($B21&gt;0,IF(VLOOKUP($B21,'1. Invulsheet medewerkers'!$B:$I,2,0)&lt;=C$8,VLOOKUP($B21,'1. Invulsheet medewerkers'!$B:$I,8,0),0),)</f>
        <v>0</v>
      </c>
      <c r="D21" s="208">
        <f ca="1">IF($B21&gt;0,IF(VLOOKUP($B21,'1. Invulsheet medewerkers'!$B:$I,2,0)&lt;=D$8,VLOOKUP($B21,'1. Invulsheet medewerkers'!$B:$I,8,0),0),)</f>
        <v>0</v>
      </c>
      <c r="E21" s="208">
        <f ca="1">IF($B21&gt;0,IF(VLOOKUP($B21,'1. Invulsheet medewerkers'!$B:$I,2,0)&lt;=E$8,VLOOKUP($B21,'1. Invulsheet medewerkers'!$B:$I,8,0),0),)</f>
        <v>0</v>
      </c>
      <c r="F21" s="208">
        <f ca="1">IF($B21&gt;0,IF(VLOOKUP($B21,'1. Invulsheet medewerkers'!$B:$I,2,0)&lt;=F$8,VLOOKUP($B21,'1. Invulsheet medewerkers'!$B:$I,8,0),0),)</f>
        <v>0</v>
      </c>
      <c r="G21" s="208">
        <f ca="1">IF($B21&gt;0,IF(VLOOKUP($B21,'1. Invulsheet medewerkers'!$B:$I,2,0)&lt;=G$8,VLOOKUP($B21,'1. Invulsheet medewerkers'!$B:$I,8,0),0),)</f>
        <v>0</v>
      </c>
      <c r="H21" s="208">
        <f ca="1">IF($B21&gt;0,IF(VLOOKUP($B21,'1. Invulsheet medewerkers'!$B:$I,2,0)&lt;=H$8,VLOOKUP($B21,'1. Invulsheet medewerkers'!$B:$I,8,0),0),)</f>
        <v>0</v>
      </c>
      <c r="I21" s="208">
        <f ca="1">IF($B21&gt;0,IF(VLOOKUP($B21,'1. Invulsheet medewerkers'!$B:$I,2,0)&lt;=I$8,VLOOKUP($B21,'1. Invulsheet medewerkers'!$B:$I,8,0),0),)</f>
        <v>3168</v>
      </c>
      <c r="J21" s="208">
        <f ca="1">IF($B21&gt;0,IF(VLOOKUP($B21,'1. Invulsheet medewerkers'!$B:$I,2,0)&lt;=J$8,VLOOKUP($B21,'1. Invulsheet medewerkers'!$B:$I,8,0),0),)</f>
        <v>3168</v>
      </c>
      <c r="K21" s="208">
        <f ca="1">IF($B21&gt;0,IF(VLOOKUP($B21,'1. Invulsheet medewerkers'!$B:$I,2,0)&lt;=K$8,VLOOKUP($B21,'1. Invulsheet medewerkers'!$B:$I,8,0),0),)</f>
        <v>3168</v>
      </c>
      <c r="L21" s="208">
        <f ca="1">IF($B21&gt;0,IF(VLOOKUP($B21,'1. Invulsheet medewerkers'!$B:$I,2,0)&lt;=L$8,VLOOKUP($B21,'1. Invulsheet medewerkers'!$B:$I,8,0),0),)</f>
        <v>3168</v>
      </c>
      <c r="M21" s="208">
        <f ca="1">IF($B21&gt;0,IF(VLOOKUP($B21,'1. Invulsheet medewerkers'!$B:$I,2,0)&lt;=M$8,VLOOKUP($B21,'1. Invulsheet medewerkers'!$B:$I,8,0),0),)</f>
        <v>3168</v>
      </c>
      <c r="N21" s="209">
        <f ca="1">IF($B21&gt;0,IF(VLOOKUP($B21,'1. Invulsheet medewerkers'!$B:$I,2,0)&lt;=N$8,VLOOKUP($B21,'1. Invulsheet medewerkers'!$B:$I,8,0),0),)</f>
        <v>3168</v>
      </c>
      <c r="O21" s="200">
        <f t="shared" ca="1" si="1"/>
        <v>19008</v>
      </c>
      <c r="P21" s="210" t="str">
        <f ca="1">IF(VLOOKUP(B21,'1. Invulsheet medewerkers'!B:N,13,0)&gt;0,"d","i")</f>
        <v>i</v>
      </c>
      <c r="Q21" s="31"/>
      <c r="R21" s="31"/>
      <c r="S21" s="31"/>
      <c r="T21" s="31"/>
      <c r="U21" s="31"/>
      <c r="V21" s="31"/>
      <c r="W21" s="31"/>
      <c r="X21" s="31"/>
      <c r="Y21" s="31"/>
      <c r="Z21" s="30"/>
    </row>
    <row r="22" spans="1:26" x14ac:dyDescent="0.2">
      <c r="A22" s="30"/>
      <c r="B22" s="178"/>
      <c r="C22" s="179">
        <f>IF($B22&gt;0, IF(VLOOKUP($B22,'1. Invulsheet medewerkers'!$B:$N,2,0)&lt;=C$8,(VLOOKUP($B22,'1. Invulsheet medewerkers'!$B:$N,13,0)/12)*C$10,0),)</f>
        <v>0</v>
      </c>
      <c r="D22" s="179">
        <f>IF($B22&gt;0, IF(VLOOKUP($B22,'1. Invulsheet medewerkers'!$B:$N,2,0)&lt;=D$8,(VLOOKUP($B22,'1. Invulsheet medewerkers'!$B:$N,13,0)/12)*D$10,0),)</f>
        <v>0</v>
      </c>
      <c r="E22" s="179">
        <f>IF($B22&gt;0, IF(VLOOKUP($B22,'1. Invulsheet medewerkers'!$B:$N,2,0)&lt;=E$8,(VLOOKUP($B22,'1. Invulsheet medewerkers'!$B:$N,13,0)/12)*E$10,0),)</f>
        <v>0</v>
      </c>
      <c r="F22" s="179">
        <f>IF($B22&gt;0, IF(VLOOKUP($B22,'1. Invulsheet medewerkers'!$B:$N,2,0)&lt;=F$8,(VLOOKUP($B22,'1. Invulsheet medewerkers'!$B:$N,13,0)/12)*F$10,0),)</f>
        <v>0</v>
      </c>
      <c r="G22" s="179">
        <f>IF($B22&gt;0, IF(VLOOKUP($B22,'1. Invulsheet medewerkers'!$B:$N,2,0)&lt;=G$8,(VLOOKUP($B22,'1. Invulsheet medewerkers'!$B:$N,13,0)/12)*G$10,0),)</f>
        <v>0</v>
      </c>
      <c r="H22" s="179">
        <f>IF($B22&gt;0, IF(VLOOKUP($B22,'1. Invulsheet medewerkers'!$B:$N,2,0)&lt;=H$8,(VLOOKUP($B22,'1. Invulsheet medewerkers'!$B:$N,13,0)/12)*H$10,0),)</f>
        <v>0</v>
      </c>
      <c r="I22" s="179">
        <f>IF($B22&gt;0, IF(VLOOKUP($B22,'1. Invulsheet medewerkers'!$B:$N,2,0)&lt;=I$8,(VLOOKUP($B22,'1. Invulsheet medewerkers'!$B:$N,13,0)/12)*I$10,0),)</f>
        <v>0</v>
      </c>
      <c r="J22" s="179">
        <f>IF($B22&gt;0, IF(VLOOKUP($B22,'1. Invulsheet medewerkers'!$B:$N,2,0)&lt;=J$8,(VLOOKUP($B22,'1. Invulsheet medewerkers'!$B:$N,13,0)/12)*J$10,0),)</f>
        <v>0</v>
      </c>
      <c r="K22" s="179">
        <f>IF($B22&gt;0, IF(VLOOKUP($B22,'1. Invulsheet medewerkers'!$B:$N,2,0)&lt;=K$8,(VLOOKUP($B22,'1. Invulsheet medewerkers'!$B:$N,13,0)/12)*K$10,0),)</f>
        <v>0</v>
      </c>
      <c r="L22" s="179">
        <f>IF($B22&gt;0, IF(VLOOKUP($B22,'1. Invulsheet medewerkers'!$B:$N,2,0)&lt;=L$8,(VLOOKUP($B22,'1. Invulsheet medewerkers'!$B:$N,13,0)/12)*L$10,0),)</f>
        <v>0</v>
      </c>
      <c r="M22" s="179">
        <f>IF($B22&gt;0, IF(VLOOKUP($B22,'1. Invulsheet medewerkers'!$B:$N,2,0)&lt;=M$8,(VLOOKUP($B22,'1. Invulsheet medewerkers'!$B:$N,13,0)/12)*M$10,0),)</f>
        <v>0</v>
      </c>
      <c r="N22" s="180">
        <f>IF($B22&gt;0, IF(VLOOKUP($B22,'1. Invulsheet medewerkers'!$B:$N,2,0)&lt;=N$8,(VLOOKUP($B22,'1. Invulsheet medewerkers'!$B:$N,13,0)/12)*N$10,0),)</f>
        <v>0</v>
      </c>
      <c r="O22" s="211" t="str">
        <f t="shared" si="1"/>
        <v/>
      </c>
      <c r="P22" s="30"/>
      <c r="Q22" s="31"/>
      <c r="R22" s="31"/>
      <c r="S22" s="31"/>
      <c r="T22" s="31"/>
      <c r="U22" s="31"/>
      <c r="V22" s="31"/>
      <c r="W22" s="31"/>
      <c r="X22" s="31"/>
      <c r="Y22" s="31"/>
      <c r="Z22" s="30"/>
    </row>
    <row r="23" spans="1:26" x14ac:dyDescent="0.2">
      <c r="A23" s="30"/>
      <c r="B23" s="181"/>
      <c r="C23" s="182">
        <f>IF($B23&gt;0, IF(VLOOKUP($B23,'1. Invulsheet medewerkers'!$B:$N,2,0)&lt;=C$8,(VLOOKUP($B23,'1. Invulsheet medewerkers'!$B:$N,13,0)/12)*C$10,0),)</f>
        <v>0</v>
      </c>
      <c r="D23" s="182">
        <f>IF($B23&gt;0, IF(VLOOKUP($B23,'1. Invulsheet medewerkers'!$B:$N,2,0)&lt;=D$8,(VLOOKUP($B23,'1. Invulsheet medewerkers'!$B:$N,13,0)/12)*D$10,0),)</f>
        <v>0</v>
      </c>
      <c r="E23" s="182">
        <f>IF($B23&gt;0, IF(VLOOKUP($B23,'1. Invulsheet medewerkers'!$B:$N,2,0)&lt;=E$8,(VLOOKUP($B23,'1. Invulsheet medewerkers'!$B:$N,13,0)/12)*E$10,0),)</f>
        <v>0</v>
      </c>
      <c r="F23" s="182">
        <f>IF($B23&gt;0, IF(VLOOKUP($B23,'1. Invulsheet medewerkers'!$B:$N,2,0)&lt;=F$8,(VLOOKUP($B23,'1. Invulsheet medewerkers'!$B:$N,13,0)/12)*F$10,0),)</f>
        <v>0</v>
      </c>
      <c r="G23" s="182">
        <f>IF($B23&gt;0, IF(VLOOKUP($B23,'1. Invulsheet medewerkers'!$B:$N,2,0)&lt;=G$8,(VLOOKUP($B23,'1. Invulsheet medewerkers'!$B:$N,13,0)/12)*G$10,0),)</f>
        <v>0</v>
      </c>
      <c r="H23" s="182">
        <f>IF($B23&gt;0, IF(VLOOKUP($B23,'1. Invulsheet medewerkers'!$B:$N,2,0)&lt;=H$8,(VLOOKUP($B23,'1. Invulsheet medewerkers'!$B:$N,13,0)/12)*H$10,0),)</f>
        <v>0</v>
      </c>
      <c r="I23" s="182">
        <f>IF($B23&gt;0, IF(VLOOKUP($B23,'1. Invulsheet medewerkers'!$B:$N,2,0)&lt;=I$8,(VLOOKUP($B23,'1. Invulsheet medewerkers'!$B:$N,13,0)/12)*I$10,0),)</f>
        <v>0</v>
      </c>
      <c r="J23" s="182">
        <f>IF($B23&gt;0, IF(VLOOKUP($B23,'1. Invulsheet medewerkers'!$B:$N,2,0)&lt;=J$8,(VLOOKUP($B23,'1. Invulsheet medewerkers'!$B:$N,13,0)/12)*J$10,0),)</f>
        <v>0</v>
      </c>
      <c r="K23" s="182">
        <f>IF($B23&gt;0, IF(VLOOKUP($B23,'1. Invulsheet medewerkers'!$B:$N,2,0)&lt;=K$8,(VLOOKUP($B23,'1. Invulsheet medewerkers'!$B:$N,13,0)/12)*K$10,0),)</f>
        <v>0</v>
      </c>
      <c r="L23" s="182">
        <f>IF($B23&gt;0, IF(VLOOKUP($B23,'1. Invulsheet medewerkers'!$B:$N,2,0)&lt;=L$8,(VLOOKUP($B23,'1. Invulsheet medewerkers'!$B:$N,13,0)/12)*L$10,0),)</f>
        <v>0</v>
      </c>
      <c r="M23" s="182">
        <f>IF($B23&gt;0, IF(VLOOKUP($B23,'1. Invulsheet medewerkers'!$B:$N,2,0)&lt;=M$8,(VLOOKUP($B23,'1. Invulsheet medewerkers'!$B:$N,13,0)/12)*M$10,0),)</f>
        <v>0</v>
      </c>
      <c r="N23" s="182">
        <f>IF($B23&gt;0, IF(VLOOKUP($B23,'1. Invulsheet medewerkers'!$B:$N,2,0)&lt;=N$8,(VLOOKUP($B23,'1. Invulsheet medewerkers'!$B:$N,13,0)/12)*N$10,0),)</f>
        <v>0</v>
      </c>
      <c r="O23" s="211" t="str">
        <f t="shared" si="1"/>
        <v/>
      </c>
      <c r="P23" s="30"/>
      <c r="Q23" s="31"/>
      <c r="R23" s="31"/>
      <c r="S23" s="31"/>
      <c r="T23" s="31"/>
      <c r="U23" s="31"/>
      <c r="V23" s="31"/>
      <c r="W23" s="31"/>
      <c r="X23" s="31"/>
      <c r="Y23" s="31"/>
      <c r="Z23" s="30"/>
    </row>
    <row r="24" spans="1:26" x14ac:dyDescent="0.2">
      <c r="A24" s="30"/>
      <c r="B24" s="178"/>
      <c r="C24" s="179">
        <f>IF($B24&gt;0, IF(VLOOKUP($B24,'1. Invulsheet medewerkers'!$B:$N,2,0)&lt;=C$8,(VLOOKUP($B24,'1. Invulsheet medewerkers'!$B:$N,13,0)/12)*C$10,0),)</f>
        <v>0</v>
      </c>
      <c r="D24" s="179">
        <f>IF($B24&gt;0, IF(VLOOKUP($B24,'1. Invulsheet medewerkers'!$B:$N,2,0)&lt;=D$8,(VLOOKUP($B24,'1. Invulsheet medewerkers'!$B:$N,13,0)/12)*D$10,0),)</f>
        <v>0</v>
      </c>
      <c r="E24" s="179">
        <f>IF($B24&gt;0, IF(VLOOKUP($B24,'1. Invulsheet medewerkers'!$B:$N,2,0)&lt;=E$8,(VLOOKUP($B24,'1. Invulsheet medewerkers'!$B:$N,13,0)/12)*E$10,0),)</f>
        <v>0</v>
      </c>
      <c r="F24" s="179">
        <f>IF($B24&gt;0, IF(VLOOKUP($B24,'1. Invulsheet medewerkers'!$B:$N,2,0)&lt;=F$8,(VLOOKUP($B24,'1. Invulsheet medewerkers'!$B:$N,13,0)/12)*F$10,0),)</f>
        <v>0</v>
      </c>
      <c r="G24" s="179">
        <f>IF($B24&gt;0, IF(VLOOKUP($B24,'1. Invulsheet medewerkers'!$B:$N,2,0)&lt;=G$8,(VLOOKUP($B24,'1. Invulsheet medewerkers'!$B:$N,13,0)/12)*G$10,0),)</f>
        <v>0</v>
      </c>
      <c r="H24" s="179">
        <f>IF($B24&gt;0, IF(VLOOKUP($B24,'1. Invulsheet medewerkers'!$B:$N,2,0)&lt;=H$8,(VLOOKUP($B24,'1. Invulsheet medewerkers'!$B:$N,13,0)/12)*H$10,0),)</f>
        <v>0</v>
      </c>
      <c r="I24" s="179">
        <f>IF($B24&gt;0, IF(VLOOKUP($B24,'1. Invulsheet medewerkers'!$B:$N,2,0)&lt;=I$8,(VLOOKUP($B24,'1. Invulsheet medewerkers'!$B:$N,13,0)/12)*I$10,0),)</f>
        <v>0</v>
      </c>
      <c r="J24" s="179">
        <f>IF($B24&gt;0, IF(VLOOKUP($B24,'1. Invulsheet medewerkers'!$B:$N,2,0)&lt;=J$8,(VLOOKUP($B24,'1. Invulsheet medewerkers'!$B:$N,13,0)/12)*J$10,0),)</f>
        <v>0</v>
      </c>
      <c r="K24" s="179">
        <f>IF($B24&gt;0, IF(VLOOKUP($B24,'1. Invulsheet medewerkers'!$B:$N,2,0)&lt;=K$8,(VLOOKUP($B24,'1. Invulsheet medewerkers'!$B:$N,13,0)/12)*K$10,0),)</f>
        <v>0</v>
      </c>
      <c r="L24" s="179">
        <f>IF($B24&gt;0, IF(VLOOKUP($B24,'1. Invulsheet medewerkers'!$B:$N,2,0)&lt;=L$8,(VLOOKUP($B24,'1. Invulsheet medewerkers'!$B:$N,13,0)/12)*L$10,0),)</f>
        <v>0</v>
      </c>
      <c r="M24" s="179">
        <f>IF($B24&gt;0, IF(VLOOKUP($B24,'1. Invulsheet medewerkers'!$B:$N,2,0)&lt;=M$8,(VLOOKUP($B24,'1. Invulsheet medewerkers'!$B:$N,13,0)/12)*M$10,0),)</f>
        <v>0</v>
      </c>
      <c r="N24" s="180">
        <f>IF($B24&gt;0, IF(VLOOKUP($B24,'1. Invulsheet medewerkers'!$B:$N,2,0)&lt;=N$8,(VLOOKUP($B24,'1. Invulsheet medewerkers'!$B:$N,13,0)/12)*N$10,0),)</f>
        <v>0</v>
      </c>
      <c r="O24" s="211" t="str">
        <f t="shared" si="1"/>
        <v/>
      </c>
      <c r="P24" s="30"/>
      <c r="Q24" s="31"/>
      <c r="R24" s="31"/>
      <c r="S24" s="31"/>
      <c r="T24" s="31"/>
      <c r="U24" s="31"/>
      <c r="V24" s="31"/>
      <c r="W24" s="31"/>
      <c r="X24" s="31"/>
      <c r="Y24" s="31"/>
      <c r="Z24" s="30"/>
    </row>
    <row r="25" spans="1:26" x14ac:dyDescent="0.2">
      <c r="A25" s="30"/>
      <c r="B25" s="181"/>
      <c r="C25" s="182">
        <f>IF($B25&gt;0, IF(VLOOKUP($B25,'1. Invulsheet medewerkers'!$B:$N,2,0)&lt;=C$8,(VLOOKUP($B25,'1. Invulsheet medewerkers'!$B:$N,13,0)/12)*C$10,0),)</f>
        <v>0</v>
      </c>
      <c r="D25" s="182">
        <f>IF($B25&gt;0, IF(VLOOKUP($B25,'1. Invulsheet medewerkers'!$B:$N,2,0)&lt;=D$8,(VLOOKUP($B25,'1. Invulsheet medewerkers'!$B:$N,13,0)/12)*D$10,0),)</f>
        <v>0</v>
      </c>
      <c r="E25" s="182">
        <f>IF($B25&gt;0, IF(VLOOKUP($B25,'1. Invulsheet medewerkers'!$B:$N,2,0)&lt;=E$8,(VLOOKUP($B25,'1. Invulsheet medewerkers'!$B:$N,13,0)/12)*E$10,0),)</f>
        <v>0</v>
      </c>
      <c r="F25" s="182">
        <f>IF($B25&gt;0, IF(VLOOKUP($B25,'1. Invulsheet medewerkers'!$B:$N,2,0)&lt;=F$8,(VLOOKUP($B25,'1. Invulsheet medewerkers'!$B:$N,13,0)/12)*F$10,0),)</f>
        <v>0</v>
      </c>
      <c r="G25" s="182">
        <f>IF($B25&gt;0, IF(VLOOKUP($B25,'1. Invulsheet medewerkers'!$B:$N,2,0)&lt;=G$8,(VLOOKUP($B25,'1. Invulsheet medewerkers'!$B:$N,13,0)/12)*G$10,0),)</f>
        <v>0</v>
      </c>
      <c r="H25" s="182">
        <f>IF($B25&gt;0, IF(VLOOKUP($B25,'1. Invulsheet medewerkers'!$B:$N,2,0)&lt;=H$8,(VLOOKUP($B25,'1. Invulsheet medewerkers'!$B:$N,13,0)/12)*H$10,0),)</f>
        <v>0</v>
      </c>
      <c r="I25" s="182">
        <f>IF($B25&gt;0, IF(VLOOKUP($B25,'1. Invulsheet medewerkers'!$B:$N,2,0)&lt;=I$8,(VLOOKUP($B25,'1. Invulsheet medewerkers'!$B:$N,13,0)/12)*I$10,0),)</f>
        <v>0</v>
      </c>
      <c r="J25" s="182">
        <f>IF($B25&gt;0, IF(VLOOKUP($B25,'1. Invulsheet medewerkers'!$B:$N,2,0)&lt;=J$8,(VLOOKUP($B25,'1. Invulsheet medewerkers'!$B:$N,13,0)/12)*J$10,0),)</f>
        <v>0</v>
      </c>
      <c r="K25" s="182">
        <f>IF($B25&gt;0, IF(VLOOKUP($B25,'1. Invulsheet medewerkers'!$B:$N,2,0)&lt;=K$8,(VLOOKUP($B25,'1. Invulsheet medewerkers'!$B:$N,13,0)/12)*K$10,0),)</f>
        <v>0</v>
      </c>
      <c r="L25" s="182">
        <f>IF($B25&gt;0, IF(VLOOKUP($B25,'1. Invulsheet medewerkers'!$B:$N,2,0)&lt;=L$8,(VLOOKUP($B25,'1. Invulsheet medewerkers'!$B:$N,13,0)/12)*L$10,0),)</f>
        <v>0</v>
      </c>
      <c r="M25" s="182">
        <f>IF($B25&gt;0, IF(VLOOKUP($B25,'1. Invulsheet medewerkers'!$B:$N,2,0)&lt;=M$8,(VLOOKUP($B25,'1. Invulsheet medewerkers'!$B:$N,13,0)/12)*M$10,0),)</f>
        <v>0</v>
      </c>
      <c r="N25" s="182">
        <f>IF($B25&gt;0, IF(VLOOKUP($B25,'1. Invulsheet medewerkers'!$B:$N,2,0)&lt;=N$8,(VLOOKUP($B25,'1. Invulsheet medewerkers'!$B:$N,13,0)/12)*N$10,0),)</f>
        <v>0</v>
      </c>
      <c r="O25" s="211" t="str">
        <f t="shared" si="1"/>
        <v/>
      </c>
      <c r="P25" s="30"/>
      <c r="Q25" s="236"/>
      <c r="R25" s="236"/>
      <c r="S25" s="236"/>
      <c r="T25" s="236"/>
      <c r="U25" s="236"/>
      <c r="V25" s="236"/>
      <c r="W25" s="236"/>
      <c r="X25" s="236"/>
      <c r="Y25" s="236"/>
      <c r="Z25" s="30"/>
    </row>
    <row r="26" spans="1:26" x14ac:dyDescent="0.2">
      <c r="A26" s="30"/>
      <c r="B26" s="178"/>
      <c r="C26" s="179">
        <f>IF($B26&gt;0, IF(VLOOKUP($B26,'1. Invulsheet medewerkers'!$B:$N,2,0)&lt;=C$8,(VLOOKUP($B26,'1. Invulsheet medewerkers'!$B:$N,13,0)/12)*C$10,0),)</f>
        <v>0</v>
      </c>
      <c r="D26" s="179">
        <f>IF($B26&gt;0, IF(VLOOKUP($B26,'1. Invulsheet medewerkers'!$B:$N,2,0)&lt;=D$8,(VLOOKUP($B26,'1. Invulsheet medewerkers'!$B:$N,13,0)/12)*D$10,0),)</f>
        <v>0</v>
      </c>
      <c r="E26" s="179">
        <f>IF($B26&gt;0, IF(VLOOKUP($B26,'1. Invulsheet medewerkers'!$B:$N,2,0)&lt;=E$8,(VLOOKUP($B26,'1. Invulsheet medewerkers'!$B:$N,13,0)/12)*E$10,0),)</f>
        <v>0</v>
      </c>
      <c r="F26" s="179">
        <f>IF($B26&gt;0, IF(VLOOKUP($B26,'1. Invulsheet medewerkers'!$B:$N,2,0)&lt;=F$8,(VLOOKUP($B26,'1. Invulsheet medewerkers'!$B:$N,13,0)/12)*F$10,0),)</f>
        <v>0</v>
      </c>
      <c r="G26" s="179">
        <f>IF($B26&gt;0, IF(VLOOKUP($B26,'1. Invulsheet medewerkers'!$B:$N,2,0)&lt;=G$8,(VLOOKUP($B26,'1. Invulsheet medewerkers'!$B:$N,13,0)/12)*G$10,0),)</f>
        <v>0</v>
      </c>
      <c r="H26" s="179">
        <f>IF($B26&gt;0, IF(VLOOKUP($B26,'1. Invulsheet medewerkers'!$B:$N,2,0)&lt;=H$8,(VLOOKUP($B26,'1. Invulsheet medewerkers'!$B:$N,13,0)/12)*H$10,0),)</f>
        <v>0</v>
      </c>
      <c r="I26" s="179">
        <f>IF($B26&gt;0, IF(VLOOKUP($B26,'1. Invulsheet medewerkers'!$B:$N,2,0)&lt;=I$8,(VLOOKUP($B26,'1. Invulsheet medewerkers'!$B:$N,13,0)/12)*I$10,0),)</f>
        <v>0</v>
      </c>
      <c r="J26" s="179">
        <f>IF($B26&gt;0, IF(VLOOKUP($B26,'1. Invulsheet medewerkers'!$B:$N,2,0)&lt;=J$8,(VLOOKUP($B26,'1. Invulsheet medewerkers'!$B:$N,13,0)/12)*J$10,0),)</f>
        <v>0</v>
      </c>
      <c r="K26" s="179">
        <f>IF($B26&gt;0, IF(VLOOKUP($B26,'1. Invulsheet medewerkers'!$B:$N,2,0)&lt;=K$8,(VLOOKUP($B26,'1. Invulsheet medewerkers'!$B:$N,13,0)/12)*K$10,0),)</f>
        <v>0</v>
      </c>
      <c r="L26" s="179">
        <f>IF($B26&gt;0, IF(VLOOKUP($B26,'1. Invulsheet medewerkers'!$B:$N,2,0)&lt;=L$8,(VLOOKUP($B26,'1. Invulsheet medewerkers'!$B:$N,13,0)/12)*L$10,0),)</f>
        <v>0</v>
      </c>
      <c r="M26" s="179">
        <f>IF($B26&gt;0, IF(VLOOKUP($B26,'1. Invulsheet medewerkers'!$B:$N,2,0)&lt;=M$8,(VLOOKUP($B26,'1. Invulsheet medewerkers'!$B:$N,13,0)/12)*M$10,0),)</f>
        <v>0</v>
      </c>
      <c r="N26" s="180">
        <f>IF($B26&gt;0, IF(VLOOKUP($B26,'1. Invulsheet medewerkers'!$B:$N,2,0)&lt;=N$8,(VLOOKUP($B26,'1. Invulsheet medewerkers'!$B:$N,13,0)/12)*N$10,0),)</f>
        <v>0</v>
      </c>
      <c r="O26" s="211" t="str">
        <f t="shared" si="1"/>
        <v/>
      </c>
      <c r="P26" s="30"/>
      <c r="Q26" s="236"/>
      <c r="R26" s="236"/>
      <c r="S26" s="236"/>
      <c r="T26" s="236"/>
      <c r="U26" s="236"/>
      <c r="V26" s="236"/>
      <c r="W26" s="236"/>
      <c r="X26" s="236"/>
      <c r="Y26" s="236"/>
      <c r="Z26" s="30"/>
    </row>
    <row r="27" spans="1:26" x14ac:dyDescent="0.2">
      <c r="A27" s="30"/>
      <c r="B27" s="181"/>
      <c r="C27" s="182">
        <f>IF($B27&gt;0, IF(VLOOKUP($B27,'1. Invulsheet medewerkers'!$B:$N,2,0)&lt;=C$8,(VLOOKUP($B27,'1. Invulsheet medewerkers'!$B:$N,13,0)/12)*C$10,0),)</f>
        <v>0</v>
      </c>
      <c r="D27" s="182">
        <f>IF($B27&gt;0, IF(VLOOKUP($B27,'1. Invulsheet medewerkers'!$B:$N,2,0)&lt;=D$8,(VLOOKUP($B27,'1. Invulsheet medewerkers'!$B:$N,13,0)/12)*D$10,0),)</f>
        <v>0</v>
      </c>
      <c r="E27" s="182">
        <f>IF($B27&gt;0, IF(VLOOKUP($B27,'1. Invulsheet medewerkers'!$B:$N,2,0)&lt;=E$8,(VLOOKUP($B27,'1. Invulsheet medewerkers'!$B:$N,13,0)/12)*E$10,0),)</f>
        <v>0</v>
      </c>
      <c r="F27" s="182">
        <f>IF($B27&gt;0, IF(VLOOKUP($B27,'1. Invulsheet medewerkers'!$B:$N,2,0)&lt;=F$8,(VLOOKUP($B27,'1. Invulsheet medewerkers'!$B:$N,13,0)/12)*F$10,0),)</f>
        <v>0</v>
      </c>
      <c r="G27" s="182">
        <f>IF($B27&gt;0, IF(VLOOKUP($B27,'1. Invulsheet medewerkers'!$B:$N,2,0)&lt;=G$8,(VLOOKUP($B27,'1. Invulsheet medewerkers'!$B:$N,13,0)/12)*G$10,0),)</f>
        <v>0</v>
      </c>
      <c r="H27" s="182">
        <f>IF($B27&gt;0, IF(VLOOKUP($B27,'1. Invulsheet medewerkers'!$B:$N,2,0)&lt;=H$8,(VLOOKUP($B27,'1. Invulsheet medewerkers'!$B:$N,13,0)/12)*H$10,0),)</f>
        <v>0</v>
      </c>
      <c r="I27" s="182">
        <f>IF($B27&gt;0, IF(VLOOKUP($B27,'1. Invulsheet medewerkers'!$B:$N,2,0)&lt;=I$8,(VLOOKUP($B27,'1. Invulsheet medewerkers'!$B:$N,13,0)/12)*I$10,0),)</f>
        <v>0</v>
      </c>
      <c r="J27" s="182">
        <f>IF($B27&gt;0, IF(VLOOKUP($B27,'1. Invulsheet medewerkers'!$B:$N,2,0)&lt;=J$8,(VLOOKUP($B27,'1. Invulsheet medewerkers'!$B:$N,13,0)/12)*J$10,0),)</f>
        <v>0</v>
      </c>
      <c r="K27" s="182">
        <f>IF($B27&gt;0, IF(VLOOKUP($B27,'1. Invulsheet medewerkers'!$B:$N,2,0)&lt;=K$8,(VLOOKUP($B27,'1. Invulsheet medewerkers'!$B:$N,13,0)/12)*K$10,0),)</f>
        <v>0</v>
      </c>
      <c r="L27" s="182">
        <f>IF($B27&gt;0, IF(VLOOKUP($B27,'1. Invulsheet medewerkers'!$B:$N,2,0)&lt;=L$8,(VLOOKUP($B27,'1. Invulsheet medewerkers'!$B:$N,13,0)/12)*L$10,0),)</f>
        <v>0</v>
      </c>
      <c r="M27" s="182">
        <f>IF($B27&gt;0, IF(VLOOKUP($B27,'1. Invulsheet medewerkers'!$B:$N,2,0)&lt;=M$8,(VLOOKUP($B27,'1. Invulsheet medewerkers'!$B:$N,13,0)/12)*M$10,0),)</f>
        <v>0</v>
      </c>
      <c r="N27" s="182">
        <f>IF($B27&gt;0, IF(VLOOKUP($B27,'1. Invulsheet medewerkers'!$B:$N,2,0)&lt;=N$8,(VLOOKUP($B27,'1. Invulsheet medewerkers'!$B:$N,13,0)/12)*N$10,0),)</f>
        <v>0</v>
      </c>
      <c r="O27" s="211" t="str">
        <f t="shared" si="1"/>
        <v/>
      </c>
      <c r="P27" s="30"/>
      <c r="Q27" s="236"/>
      <c r="R27" s="236"/>
      <c r="S27" s="236"/>
      <c r="T27" s="236"/>
      <c r="U27" s="236"/>
      <c r="V27" s="236"/>
      <c r="W27" s="236"/>
      <c r="X27" s="236"/>
      <c r="Y27" s="236"/>
      <c r="Z27" s="30"/>
    </row>
    <row r="28" spans="1:26" x14ac:dyDescent="0.2">
      <c r="A28" s="30"/>
      <c r="B28" s="178"/>
      <c r="C28" s="179">
        <f>IF($B28&gt;0, IF(VLOOKUP($B28,'1. Invulsheet medewerkers'!$B:$N,2,0)&lt;=C$8,(VLOOKUP($B28,'1. Invulsheet medewerkers'!$B:$N,13,0)/12)*C$10,0),)</f>
        <v>0</v>
      </c>
      <c r="D28" s="179">
        <f>IF($B28&gt;0, IF(VLOOKUP($B28,'1. Invulsheet medewerkers'!$B:$N,2,0)&lt;=D$8,(VLOOKUP($B28,'1. Invulsheet medewerkers'!$B:$N,13,0)/12)*D$10,0),)</f>
        <v>0</v>
      </c>
      <c r="E28" s="179">
        <f>IF($B28&gt;0, IF(VLOOKUP($B28,'1. Invulsheet medewerkers'!$B:$N,2,0)&lt;=E$8,(VLOOKUP($B28,'1. Invulsheet medewerkers'!$B:$N,13,0)/12)*E$10,0),)</f>
        <v>0</v>
      </c>
      <c r="F28" s="179">
        <f>IF($B28&gt;0, IF(VLOOKUP($B28,'1. Invulsheet medewerkers'!$B:$N,2,0)&lt;=F$8,(VLOOKUP($B28,'1. Invulsheet medewerkers'!$B:$N,13,0)/12)*F$10,0),)</f>
        <v>0</v>
      </c>
      <c r="G28" s="179">
        <f>IF($B28&gt;0, IF(VLOOKUP($B28,'1. Invulsheet medewerkers'!$B:$N,2,0)&lt;=G$8,(VLOOKUP($B28,'1. Invulsheet medewerkers'!$B:$N,13,0)/12)*G$10,0),)</f>
        <v>0</v>
      </c>
      <c r="H28" s="179">
        <f>IF($B28&gt;0, IF(VLOOKUP($B28,'1. Invulsheet medewerkers'!$B:$N,2,0)&lt;=H$8,(VLOOKUP($B28,'1. Invulsheet medewerkers'!$B:$N,13,0)/12)*H$10,0),)</f>
        <v>0</v>
      </c>
      <c r="I28" s="179">
        <f>IF($B28&gt;0, IF(VLOOKUP($B28,'1. Invulsheet medewerkers'!$B:$N,2,0)&lt;=I$8,(VLOOKUP($B28,'1. Invulsheet medewerkers'!$B:$N,13,0)/12)*I$10,0),)</f>
        <v>0</v>
      </c>
      <c r="J28" s="179">
        <f>IF($B28&gt;0, IF(VLOOKUP($B28,'1. Invulsheet medewerkers'!$B:$N,2,0)&lt;=J$8,(VLOOKUP($B28,'1. Invulsheet medewerkers'!$B:$N,13,0)/12)*J$10,0),)</f>
        <v>0</v>
      </c>
      <c r="K28" s="179">
        <f>IF($B28&gt;0, IF(VLOOKUP($B28,'1. Invulsheet medewerkers'!$B:$N,2,0)&lt;=K$8,(VLOOKUP($B28,'1. Invulsheet medewerkers'!$B:$N,13,0)/12)*K$10,0),)</f>
        <v>0</v>
      </c>
      <c r="L28" s="179">
        <f>IF($B28&gt;0, IF(VLOOKUP($B28,'1. Invulsheet medewerkers'!$B:$N,2,0)&lt;=L$8,(VLOOKUP($B28,'1. Invulsheet medewerkers'!$B:$N,13,0)/12)*L$10,0),)</f>
        <v>0</v>
      </c>
      <c r="M28" s="179">
        <f>IF($B28&gt;0, IF(VLOOKUP($B28,'1. Invulsheet medewerkers'!$B:$N,2,0)&lt;=M$8,(VLOOKUP($B28,'1. Invulsheet medewerkers'!$B:$N,13,0)/12)*M$10,0),)</f>
        <v>0</v>
      </c>
      <c r="N28" s="180">
        <f>IF($B28&gt;0, IF(VLOOKUP($B28,'1. Invulsheet medewerkers'!$B:$N,2,0)&lt;=N$8,(VLOOKUP($B28,'1. Invulsheet medewerkers'!$B:$N,13,0)/12)*N$10,0),)</f>
        <v>0</v>
      </c>
      <c r="O28" s="211" t="str">
        <f t="shared" si="1"/>
        <v/>
      </c>
      <c r="P28" s="30"/>
      <c r="Q28" s="236"/>
      <c r="R28" s="236"/>
      <c r="S28" s="236"/>
      <c r="T28" s="236"/>
      <c r="U28" s="236"/>
      <c r="V28" s="236"/>
      <c r="W28" s="236"/>
      <c r="X28" s="236"/>
      <c r="Y28" s="236"/>
      <c r="Z28" s="30"/>
    </row>
    <row r="29" spans="1:26" x14ac:dyDescent="0.2">
      <c r="A29" s="30"/>
      <c r="B29" s="181"/>
      <c r="C29" s="182">
        <f>IF($B29&gt;0, IF(VLOOKUP($B29,'1. Invulsheet medewerkers'!$B:$N,2,0)&lt;=C$8,(VLOOKUP($B29,'1. Invulsheet medewerkers'!$B:$N,13,0)/12)*C$10,0),)</f>
        <v>0</v>
      </c>
      <c r="D29" s="182">
        <f>IF($B29&gt;0, IF(VLOOKUP($B29,'1. Invulsheet medewerkers'!$B:$N,2,0)&lt;=D$8,(VLOOKUP($B29,'1. Invulsheet medewerkers'!$B:$N,13,0)/12)*D$10,0),)</f>
        <v>0</v>
      </c>
      <c r="E29" s="182">
        <f>IF($B29&gt;0, IF(VLOOKUP($B29,'1. Invulsheet medewerkers'!$B:$N,2,0)&lt;=E$8,(VLOOKUP($B29,'1. Invulsheet medewerkers'!$B:$N,13,0)/12)*E$10,0),)</f>
        <v>0</v>
      </c>
      <c r="F29" s="182">
        <f>IF($B29&gt;0, IF(VLOOKUP($B29,'1. Invulsheet medewerkers'!$B:$N,2,0)&lt;=F$8,(VLOOKUP($B29,'1. Invulsheet medewerkers'!$B:$N,13,0)/12)*F$10,0),)</f>
        <v>0</v>
      </c>
      <c r="G29" s="182">
        <f>IF($B29&gt;0, IF(VLOOKUP($B29,'1. Invulsheet medewerkers'!$B:$N,2,0)&lt;=G$8,(VLOOKUP($B29,'1. Invulsheet medewerkers'!$B:$N,13,0)/12)*G$10,0),)</f>
        <v>0</v>
      </c>
      <c r="H29" s="182">
        <f>IF($B29&gt;0, IF(VLOOKUP($B29,'1. Invulsheet medewerkers'!$B:$N,2,0)&lt;=H$8,(VLOOKUP($B29,'1. Invulsheet medewerkers'!$B:$N,13,0)/12)*H$10,0),)</f>
        <v>0</v>
      </c>
      <c r="I29" s="182">
        <f>IF($B29&gt;0, IF(VLOOKUP($B29,'1. Invulsheet medewerkers'!$B:$N,2,0)&lt;=I$8,(VLOOKUP($B29,'1. Invulsheet medewerkers'!$B:$N,13,0)/12)*I$10,0),)</f>
        <v>0</v>
      </c>
      <c r="J29" s="182">
        <f>IF($B29&gt;0, IF(VLOOKUP($B29,'1. Invulsheet medewerkers'!$B:$N,2,0)&lt;=J$8,(VLOOKUP($B29,'1. Invulsheet medewerkers'!$B:$N,13,0)/12)*J$10,0),)</f>
        <v>0</v>
      </c>
      <c r="K29" s="182">
        <f>IF($B29&gt;0, IF(VLOOKUP($B29,'1. Invulsheet medewerkers'!$B:$N,2,0)&lt;=K$8,(VLOOKUP($B29,'1. Invulsheet medewerkers'!$B:$N,13,0)/12)*K$10,0),)</f>
        <v>0</v>
      </c>
      <c r="L29" s="182">
        <f>IF($B29&gt;0, IF(VLOOKUP($B29,'1. Invulsheet medewerkers'!$B:$N,2,0)&lt;=L$8,(VLOOKUP($B29,'1. Invulsheet medewerkers'!$B:$N,13,0)/12)*L$10,0),)</f>
        <v>0</v>
      </c>
      <c r="M29" s="182">
        <f>IF($B29&gt;0, IF(VLOOKUP($B29,'1. Invulsheet medewerkers'!$B:$N,2,0)&lt;=M$8,(VLOOKUP($B29,'1. Invulsheet medewerkers'!$B:$N,13,0)/12)*M$10,0),)</f>
        <v>0</v>
      </c>
      <c r="N29" s="182">
        <f>IF($B29&gt;0, IF(VLOOKUP($B29,'1. Invulsheet medewerkers'!$B:$N,2,0)&lt;=N$8,(VLOOKUP($B29,'1. Invulsheet medewerkers'!$B:$N,13,0)/12)*N$10,0),)</f>
        <v>0</v>
      </c>
      <c r="O29" s="211" t="str">
        <f t="shared" si="1"/>
        <v/>
      </c>
      <c r="P29" s="30"/>
      <c r="Q29" s="236"/>
      <c r="R29" s="236"/>
      <c r="S29" s="236"/>
      <c r="T29" s="236"/>
      <c r="U29" s="236"/>
      <c r="V29" s="236"/>
      <c r="W29" s="236"/>
      <c r="X29" s="236"/>
      <c r="Y29" s="236"/>
      <c r="Z29" s="30"/>
    </row>
    <row r="30" spans="1:26" x14ac:dyDescent="0.2">
      <c r="A30" s="30"/>
      <c r="B30" s="30"/>
      <c r="C30" s="31">
        <f>IF($B30&gt;0,IF(VLOOKUP($B30,'1. Invulsheet medewerkers'!$B:$I,2,0)&lt;=C$8,VLOOKUP($B30,'1. Invulsheet medewerkers'!$B:$I,8,0),0),)</f>
        <v>0</v>
      </c>
      <c r="D30" s="31">
        <f>IF($B30&gt;0,IF(VLOOKUP($B30,'1. Invulsheet medewerkers'!$B:$I,2,0)&lt;=D$8,VLOOKUP($B30,'1. Invulsheet medewerkers'!$B:$I,8,0),0),)</f>
        <v>0</v>
      </c>
      <c r="E30" s="31">
        <f>IF($B30&gt;0,IF(VLOOKUP($B30,'1. Invulsheet medewerkers'!$B:$I,2,0)&lt;=E$8,VLOOKUP($B30,'1. Invulsheet medewerkers'!$B:$I,8,0),0),)</f>
        <v>0</v>
      </c>
      <c r="F30" s="31">
        <f>IF($B30&gt;0,IF(VLOOKUP($B30,'1. Invulsheet medewerkers'!$B:$I,2,0)&lt;=F$8,VLOOKUP($B30,'1. Invulsheet medewerkers'!$B:$I,8,0),0),)</f>
        <v>0</v>
      </c>
      <c r="G30" s="31">
        <f>IF($B30&gt;0,IF(VLOOKUP($B30,'1. Invulsheet medewerkers'!$B:$I,2,0)&lt;=G$8,VLOOKUP($B30,'1. Invulsheet medewerkers'!$B:$I,8,0),0),)</f>
        <v>0</v>
      </c>
      <c r="H30" s="31">
        <f>IF($B30&gt;0,IF(VLOOKUP($B30,'1. Invulsheet medewerkers'!$B:$I,2,0)&lt;=H$8,VLOOKUP($B30,'1. Invulsheet medewerkers'!$B:$I,8,0),0),)</f>
        <v>0</v>
      </c>
      <c r="I30" s="31">
        <f>IF($B30&gt;0,IF(VLOOKUP($B30,'1. Invulsheet medewerkers'!$B:$I,2,0)&lt;=I$8,VLOOKUP($B30,'1. Invulsheet medewerkers'!$B:$I,8,0),0),)</f>
        <v>0</v>
      </c>
      <c r="J30" s="31">
        <f>IF($B30&gt;0,IF(VLOOKUP($B30,'1. Invulsheet medewerkers'!$B:$I,2,0)&lt;=J$8,VLOOKUP($B30,'1. Invulsheet medewerkers'!$B:$I,8,0),0),)</f>
        <v>0</v>
      </c>
      <c r="K30" s="31">
        <f>IF($B30&gt;0,IF(VLOOKUP($B30,'1. Invulsheet medewerkers'!$B:$I,2,0)&lt;=K$8,VLOOKUP($B30,'1. Invulsheet medewerkers'!$B:$I,8,0),0),)</f>
        <v>0</v>
      </c>
      <c r="L30" s="31">
        <f>IF($B30&gt;0,IF(VLOOKUP($B30,'1. Invulsheet medewerkers'!$B:$I,2,0)&lt;=L$8,VLOOKUP($B30,'1. Invulsheet medewerkers'!$B:$I,8,0),0),)</f>
        <v>0</v>
      </c>
      <c r="M30" s="31">
        <f>IF($B30&gt;0,IF(VLOOKUP($B30,'1. Invulsheet medewerkers'!$B:$I,2,0)&lt;=M$8,VLOOKUP($B30,'1. Invulsheet medewerkers'!$B:$I,8,0),0),)</f>
        <v>0</v>
      </c>
      <c r="N30" s="31">
        <f>IF($B30&gt;0,IF(VLOOKUP($B30,'1. Invulsheet medewerkers'!$B:$I,2,0)&lt;=N$8,VLOOKUP($B30,'1. Invulsheet medewerkers'!$B:$I,8,0),0),)</f>
        <v>0</v>
      </c>
      <c r="O30" s="212" t="str">
        <f t="shared" si="1"/>
        <v/>
      </c>
      <c r="P30" s="30"/>
      <c r="Q30" s="236"/>
      <c r="R30" s="236"/>
      <c r="S30" s="236"/>
      <c r="T30" s="236"/>
      <c r="U30" s="236"/>
      <c r="V30" s="236"/>
      <c r="W30" s="236"/>
      <c r="X30" s="236"/>
      <c r="Y30" s="236"/>
      <c r="Z30" s="30"/>
    </row>
    <row r="31" spans="1:26" ht="15" customHeight="1" x14ac:dyDescent="0.2">
      <c r="A31" s="30"/>
      <c r="B31" s="30"/>
      <c r="C31" s="30"/>
      <c r="D31" s="30"/>
      <c r="E31" s="30"/>
      <c r="F31" s="30"/>
      <c r="G31" s="30"/>
      <c r="H31" s="30"/>
      <c r="I31" s="30"/>
      <c r="J31" s="30"/>
      <c r="K31" s="30"/>
      <c r="L31" s="30"/>
      <c r="M31" s="30"/>
      <c r="N31" s="30"/>
      <c r="O31" s="30"/>
      <c r="P31" s="30"/>
      <c r="Q31" s="236"/>
      <c r="R31" s="236"/>
      <c r="S31" s="236"/>
      <c r="T31" s="236"/>
      <c r="U31" s="236"/>
      <c r="V31" s="236"/>
      <c r="W31" s="236"/>
      <c r="X31" s="236"/>
      <c r="Y31" s="236"/>
      <c r="Z31" s="30"/>
    </row>
    <row r="32" spans="1:26" ht="15" customHeight="1" x14ac:dyDescent="0.2">
      <c r="A32" s="30"/>
      <c r="B32" s="30"/>
      <c r="C32" s="30"/>
      <c r="D32" s="30"/>
      <c r="E32" s="30"/>
      <c r="F32" s="30"/>
      <c r="G32" s="30"/>
      <c r="H32" s="30"/>
      <c r="I32" s="30"/>
      <c r="J32" s="30"/>
      <c r="K32" s="30"/>
      <c r="L32" s="30"/>
      <c r="M32" s="30"/>
      <c r="N32" s="30"/>
      <c r="O32" s="30"/>
      <c r="P32" s="30"/>
      <c r="Q32" s="236"/>
      <c r="R32" s="236"/>
      <c r="S32" s="236"/>
      <c r="T32" s="236"/>
      <c r="U32" s="236"/>
      <c r="V32" s="236"/>
      <c r="W32" s="236"/>
      <c r="X32" s="236"/>
      <c r="Y32" s="236"/>
      <c r="Z32" s="30"/>
    </row>
    <row r="33" spans="1:26" ht="15" customHeight="1" x14ac:dyDescent="0.2">
      <c r="A33" s="30"/>
      <c r="B33" s="30"/>
      <c r="C33" s="30"/>
      <c r="D33" s="30"/>
      <c r="E33" s="30"/>
      <c r="F33" s="30"/>
      <c r="G33" s="30"/>
      <c r="H33" s="30"/>
      <c r="I33" s="30"/>
      <c r="J33" s="30"/>
      <c r="K33" s="30"/>
      <c r="L33" s="30"/>
      <c r="M33" s="30"/>
      <c r="N33" s="30"/>
      <c r="O33" s="30"/>
      <c r="P33" s="30"/>
      <c r="Q33" s="236"/>
      <c r="R33" s="236"/>
      <c r="S33" s="236"/>
      <c r="T33" s="236"/>
      <c r="U33" s="236"/>
      <c r="V33" s="236"/>
      <c r="W33" s="236"/>
      <c r="X33" s="236"/>
      <c r="Y33" s="236"/>
      <c r="Z33" s="30"/>
    </row>
    <row r="34" spans="1:26" ht="1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5"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5" customHeight="1" x14ac:dyDescent="0.2">
      <c r="B39" s="30"/>
      <c r="C39" s="30"/>
      <c r="D39" s="30"/>
      <c r="E39" s="30"/>
      <c r="F39" s="30"/>
      <c r="G39" s="30"/>
      <c r="H39" s="30"/>
      <c r="I39" s="30"/>
      <c r="J39" s="30"/>
      <c r="K39" s="30"/>
      <c r="L39" s="30"/>
      <c r="M39" s="30"/>
      <c r="N39" s="30"/>
      <c r="O39" s="30"/>
      <c r="P39" s="30"/>
      <c r="Q39" s="30"/>
      <c r="R39" s="30"/>
      <c r="S39" s="30"/>
      <c r="T39" s="30"/>
      <c r="U39" s="30"/>
      <c r="V39" s="30"/>
      <c r="W39" s="30"/>
      <c r="X39" s="30"/>
      <c r="Y39" s="30"/>
    </row>
    <row r="40" spans="1:26" ht="15" customHeight="1" x14ac:dyDescent="0.2">
      <c r="B40" s="30"/>
      <c r="C40" s="30"/>
      <c r="D40" s="30"/>
      <c r="E40" s="30"/>
      <c r="F40" s="30"/>
      <c r="G40" s="30"/>
      <c r="H40" s="30"/>
      <c r="I40" s="30"/>
      <c r="J40" s="30"/>
      <c r="K40" s="30"/>
      <c r="L40" s="30"/>
      <c r="M40" s="30"/>
      <c r="N40" s="30"/>
      <c r="O40" s="30"/>
      <c r="P40" s="30"/>
      <c r="Q40" s="30"/>
      <c r="R40" s="30"/>
      <c r="S40" s="30"/>
      <c r="T40" s="30"/>
      <c r="U40" s="30"/>
      <c r="V40" s="30"/>
      <c r="W40" s="30"/>
      <c r="X40" s="30"/>
      <c r="Y40" s="30"/>
    </row>
    <row r="41" spans="1:26" ht="15" customHeight="1" x14ac:dyDescent="0.2">
      <c r="B41" s="30"/>
      <c r="C41" s="30"/>
      <c r="D41" s="30"/>
      <c r="E41" s="30"/>
      <c r="F41" s="30"/>
      <c r="G41" s="30"/>
      <c r="H41" s="30"/>
      <c r="I41" s="30"/>
      <c r="J41" s="30"/>
      <c r="K41" s="30"/>
      <c r="L41" s="30"/>
      <c r="M41" s="30"/>
      <c r="N41" s="30"/>
      <c r="O41" s="30"/>
      <c r="P41" s="30"/>
      <c r="Q41" s="30"/>
      <c r="R41" s="30"/>
      <c r="S41" s="30"/>
      <c r="T41" s="30"/>
      <c r="U41" s="30"/>
      <c r="V41" s="30"/>
      <c r="W41" s="30"/>
      <c r="X41" s="30"/>
      <c r="Y41" s="30"/>
    </row>
    <row r="42" spans="1:26" ht="15" customHeight="1" x14ac:dyDescent="0.2">
      <c r="B42" s="30"/>
      <c r="C42" s="30"/>
      <c r="D42" s="30"/>
      <c r="E42" s="30"/>
      <c r="F42" s="30"/>
      <c r="G42" s="30"/>
      <c r="H42" s="30"/>
      <c r="I42" s="30"/>
      <c r="J42" s="30"/>
      <c r="K42" s="30"/>
      <c r="L42" s="30"/>
      <c r="M42" s="30"/>
      <c r="N42" s="30"/>
      <c r="O42" s="30"/>
      <c r="P42" s="30"/>
      <c r="Q42" s="30"/>
      <c r="R42" s="30"/>
      <c r="S42" s="30"/>
      <c r="T42" s="30"/>
      <c r="U42" s="30"/>
      <c r="V42" s="30"/>
      <c r="W42" s="30"/>
      <c r="X42" s="30"/>
      <c r="Y42" s="30"/>
    </row>
    <row r="43" spans="1:26" ht="15" customHeight="1" x14ac:dyDescent="0.2">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1:26" ht="15" customHeight="1" x14ac:dyDescent="0.2">
      <c r="B44" s="30"/>
      <c r="C44" s="30"/>
      <c r="D44" s="30"/>
      <c r="E44" s="30"/>
      <c r="F44" s="30"/>
      <c r="G44" s="30"/>
      <c r="H44" s="30"/>
      <c r="I44" s="30"/>
      <c r="J44" s="30"/>
      <c r="K44" s="30"/>
      <c r="L44" s="30"/>
      <c r="M44" s="30"/>
      <c r="N44" s="30"/>
      <c r="O44" s="30"/>
      <c r="P44" s="30"/>
      <c r="Q44" s="30"/>
      <c r="R44" s="30"/>
      <c r="S44" s="30"/>
      <c r="T44" s="30"/>
      <c r="U44" s="30"/>
      <c r="V44" s="30"/>
      <c r="W44" s="30"/>
      <c r="X44" s="30"/>
      <c r="Y44" s="30"/>
    </row>
    <row r="45" spans="1:26" ht="15" customHeight="1" x14ac:dyDescent="0.2">
      <c r="B45" s="30"/>
      <c r="C45" s="30"/>
      <c r="D45" s="30"/>
      <c r="E45" s="30"/>
      <c r="F45" s="30"/>
      <c r="G45" s="30"/>
      <c r="H45" s="30"/>
      <c r="I45" s="30"/>
      <c r="J45" s="30"/>
      <c r="K45" s="30"/>
      <c r="L45" s="30"/>
      <c r="M45" s="30"/>
      <c r="N45" s="30"/>
      <c r="O45" s="30"/>
      <c r="P45" s="30"/>
      <c r="Q45" s="30"/>
      <c r="R45" s="30"/>
      <c r="S45" s="30"/>
      <c r="T45" s="30"/>
      <c r="U45" s="30"/>
      <c r="V45" s="30"/>
      <c r="W45" s="30"/>
      <c r="X45" s="30"/>
      <c r="Y45" s="30"/>
    </row>
    <row r="46" spans="1:26" ht="15" customHeight="1" x14ac:dyDescent="0.2">
      <c r="B46" s="30"/>
      <c r="C46" s="30"/>
      <c r="D46" s="30"/>
      <c r="E46" s="30"/>
      <c r="F46" s="30"/>
      <c r="G46" s="30"/>
      <c r="H46" s="30"/>
      <c r="I46" s="30"/>
      <c r="J46" s="30"/>
      <c r="K46" s="30"/>
      <c r="L46" s="30"/>
      <c r="M46" s="30"/>
      <c r="N46" s="30"/>
      <c r="O46" s="30"/>
      <c r="P46" s="30"/>
      <c r="Q46" s="30"/>
      <c r="R46" s="30"/>
      <c r="S46" s="30"/>
      <c r="T46" s="30"/>
      <c r="U46" s="30"/>
      <c r="V46" s="30"/>
      <c r="W46" s="30"/>
      <c r="X46" s="30"/>
      <c r="Y46" s="30"/>
    </row>
    <row r="47" spans="1:26" ht="15" customHeight="1" x14ac:dyDescent="0.2">
      <c r="B47" s="30"/>
      <c r="C47" s="30"/>
      <c r="D47" s="30"/>
      <c r="E47" s="30"/>
      <c r="F47" s="30"/>
      <c r="G47" s="30"/>
      <c r="H47" s="30"/>
      <c r="I47" s="30"/>
      <c r="J47" s="30"/>
      <c r="K47" s="30"/>
      <c r="L47" s="30"/>
      <c r="M47" s="30"/>
      <c r="N47" s="30"/>
      <c r="O47" s="30"/>
      <c r="P47" s="30"/>
      <c r="Q47" s="30"/>
      <c r="R47" s="30"/>
      <c r="S47" s="30"/>
      <c r="T47" s="30"/>
      <c r="U47" s="30"/>
      <c r="V47" s="30"/>
      <c r="W47" s="30"/>
      <c r="X47" s="30"/>
      <c r="Y47" s="30"/>
    </row>
  </sheetData>
  <mergeCells count="1">
    <mergeCell ref="B2:C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E5CD"/>
    <outlinePr summaryBelow="0" summaryRight="0"/>
  </sheetPr>
  <dimension ref="A1:X48"/>
  <sheetViews>
    <sheetView workbookViewId="0">
      <selection activeCell="S27" sqref="S27"/>
    </sheetView>
  </sheetViews>
  <sheetFormatPr baseColWidth="10" defaultColWidth="14.5" defaultRowHeight="15" customHeight="1" x14ac:dyDescent="0.2"/>
  <cols>
    <col min="1" max="1" width="5" customWidth="1"/>
    <col min="2" max="2" width="21.6640625" customWidth="1"/>
    <col min="3" max="3" width="14.5" customWidth="1"/>
  </cols>
  <sheetData>
    <row r="1" spans="1:24" ht="18" customHeight="1" x14ac:dyDescent="0.2">
      <c r="A1" s="29"/>
      <c r="B1" s="29"/>
      <c r="C1" s="36"/>
      <c r="D1" s="36"/>
      <c r="E1" s="36"/>
      <c r="F1" s="30"/>
      <c r="G1" s="30"/>
      <c r="H1" s="30"/>
      <c r="I1" s="30"/>
      <c r="J1" s="30"/>
      <c r="K1" s="30"/>
      <c r="L1" s="30"/>
      <c r="M1" s="30"/>
      <c r="N1" s="30"/>
      <c r="O1" s="30"/>
      <c r="P1" s="30"/>
      <c r="Q1" s="30"/>
      <c r="R1" s="30"/>
      <c r="S1" s="30"/>
      <c r="T1" s="30"/>
      <c r="U1" s="30"/>
      <c r="V1" s="30"/>
      <c r="W1" s="30"/>
      <c r="X1" s="30"/>
    </row>
    <row r="2" spans="1:24" ht="30" customHeight="1" x14ac:dyDescent="0.2">
      <c r="A2" s="29"/>
      <c r="B2" s="361"/>
      <c r="C2" s="343"/>
      <c r="D2" s="36"/>
      <c r="E2" s="36"/>
      <c r="F2" s="30"/>
      <c r="G2" s="30"/>
      <c r="H2" s="30"/>
      <c r="I2" s="30"/>
      <c r="J2" s="30"/>
      <c r="K2" s="30"/>
      <c r="L2" s="30"/>
      <c r="M2" s="30"/>
      <c r="N2" s="30"/>
      <c r="O2" s="30"/>
      <c r="P2" s="30"/>
      <c r="Q2" s="30"/>
      <c r="R2" s="30"/>
      <c r="S2" s="30"/>
      <c r="T2" s="30"/>
      <c r="U2" s="30"/>
      <c r="V2" s="30"/>
      <c r="W2" s="30"/>
      <c r="X2" s="30"/>
    </row>
    <row r="3" spans="1:24" ht="16.5" customHeight="1" x14ac:dyDescent="0.2">
      <c r="A3" s="29"/>
      <c r="B3" s="29"/>
      <c r="C3" s="36"/>
      <c r="D3" s="36"/>
      <c r="E3" s="36"/>
      <c r="F3" s="30"/>
      <c r="G3" s="30"/>
      <c r="H3" s="30"/>
      <c r="I3" s="30"/>
      <c r="J3" s="30"/>
      <c r="K3" s="30"/>
      <c r="L3" s="30"/>
      <c r="M3" s="30"/>
      <c r="N3" s="30"/>
      <c r="O3" s="30"/>
      <c r="P3" s="30"/>
      <c r="Q3" s="30"/>
      <c r="R3" s="30"/>
      <c r="S3" s="30"/>
      <c r="T3" s="30"/>
      <c r="U3" s="30"/>
      <c r="V3" s="30"/>
      <c r="W3" s="30"/>
      <c r="X3" s="30"/>
    </row>
    <row r="4" spans="1:24" ht="22" x14ac:dyDescent="0.25">
      <c r="A4" s="29"/>
      <c r="B4" s="32" t="s">
        <v>107</v>
      </c>
      <c r="C4" s="36"/>
      <c r="D4" s="36"/>
      <c r="E4" s="36"/>
      <c r="F4" s="30"/>
      <c r="G4" s="30"/>
      <c r="H4" s="30"/>
      <c r="I4" s="30"/>
      <c r="J4" s="30"/>
      <c r="K4" s="30"/>
      <c r="L4" s="30"/>
      <c r="M4" s="30"/>
      <c r="N4" s="30"/>
      <c r="O4" s="30"/>
      <c r="P4" s="30"/>
      <c r="Q4" s="30"/>
      <c r="R4" s="30"/>
      <c r="S4" s="30"/>
      <c r="T4" s="30"/>
      <c r="U4" s="30"/>
      <c r="V4" s="30"/>
      <c r="W4" s="30"/>
      <c r="X4" s="30"/>
    </row>
    <row r="5" spans="1:24" x14ac:dyDescent="0.2">
      <c r="A5" s="33"/>
      <c r="B5" s="33" t="s">
        <v>108</v>
      </c>
      <c r="C5" s="33"/>
      <c r="D5" s="33"/>
      <c r="E5" s="33"/>
      <c r="F5" s="213"/>
      <c r="G5" s="213"/>
      <c r="H5" s="213"/>
      <c r="I5" s="213"/>
      <c r="J5" s="30"/>
      <c r="K5" s="30"/>
      <c r="L5" s="30"/>
      <c r="M5" s="30"/>
      <c r="N5" s="30"/>
      <c r="O5" s="30"/>
      <c r="P5" s="30"/>
      <c r="Q5" s="30"/>
      <c r="R5" s="30"/>
      <c r="S5" s="30"/>
      <c r="T5" s="30"/>
      <c r="U5" s="30"/>
      <c r="V5" s="30"/>
      <c r="W5" s="30"/>
      <c r="X5" s="30"/>
    </row>
    <row r="6" spans="1:24" x14ac:dyDescent="0.2">
      <c r="A6" s="33"/>
      <c r="B6" s="214" t="s">
        <v>109</v>
      </c>
      <c r="C6" s="33"/>
      <c r="D6" s="33"/>
      <c r="E6" s="33"/>
      <c r="F6" s="213"/>
      <c r="G6" s="213"/>
      <c r="H6" s="213"/>
      <c r="I6" s="213"/>
      <c r="J6" s="30"/>
      <c r="K6" s="30"/>
      <c r="L6" s="30"/>
      <c r="M6" s="30"/>
      <c r="N6" s="30"/>
      <c r="O6" s="30"/>
      <c r="P6" s="30"/>
      <c r="Q6" s="30"/>
      <c r="R6" s="30"/>
      <c r="S6" s="30"/>
      <c r="T6" s="30"/>
      <c r="U6" s="30"/>
      <c r="V6" s="30"/>
      <c r="W6" s="30"/>
      <c r="X6" s="30"/>
    </row>
    <row r="7" spans="1:24" x14ac:dyDescent="0.2">
      <c r="A7" s="33"/>
      <c r="B7" s="33" t="s">
        <v>110</v>
      </c>
      <c r="C7" s="33"/>
      <c r="D7" s="33"/>
      <c r="E7" s="33"/>
      <c r="F7" s="213"/>
      <c r="G7" s="213"/>
      <c r="H7" s="213"/>
      <c r="I7" s="213"/>
      <c r="J7" s="30"/>
      <c r="K7" s="30"/>
      <c r="L7" s="30"/>
      <c r="M7" s="30"/>
      <c r="N7" s="30"/>
      <c r="O7" s="30"/>
      <c r="P7" s="30"/>
      <c r="Q7" s="30"/>
      <c r="R7" s="30"/>
      <c r="S7" s="30"/>
      <c r="T7" s="30"/>
      <c r="U7" s="30"/>
      <c r="V7" s="30"/>
      <c r="W7" s="30"/>
      <c r="X7" s="30"/>
    </row>
    <row r="8" spans="1:24" x14ac:dyDescent="0.2">
      <c r="A8" s="36"/>
      <c r="B8" s="36"/>
      <c r="C8" s="215"/>
      <c r="D8" s="215"/>
      <c r="E8" s="215"/>
      <c r="F8" s="148"/>
      <c r="G8" s="148"/>
      <c r="H8" s="148"/>
      <c r="I8" s="148"/>
      <c r="J8" s="148"/>
      <c r="K8" s="148"/>
      <c r="L8" s="148"/>
      <c r="M8" s="148"/>
      <c r="N8" s="148"/>
      <c r="O8" s="148"/>
      <c r="P8" s="30"/>
      <c r="Q8" s="30"/>
      <c r="R8" s="30"/>
      <c r="S8" s="30"/>
      <c r="T8" s="30"/>
      <c r="U8" s="30"/>
      <c r="V8" s="30"/>
      <c r="W8" s="30"/>
      <c r="X8" s="30"/>
    </row>
    <row r="9" spans="1:24" ht="21.75" customHeight="1" x14ac:dyDescent="0.2">
      <c r="A9" s="30"/>
      <c r="B9" s="192" t="s">
        <v>87</v>
      </c>
      <c r="C9" s="151" t="s">
        <v>88</v>
      </c>
      <c r="D9" s="151" t="s">
        <v>89</v>
      </c>
      <c r="E9" s="151" t="s">
        <v>90</v>
      </c>
      <c r="F9" s="151" t="s">
        <v>91</v>
      </c>
      <c r="G9" s="151" t="s">
        <v>92</v>
      </c>
      <c r="H9" s="151" t="s">
        <v>93</v>
      </c>
      <c r="I9" s="151" t="s">
        <v>94</v>
      </c>
      <c r="J9" s="151" t="s">
        <v>95</v>
      </c>
      <c r="K9" s="151" t="s">
        <v>96</v>
      </c>
      <c r="L9" s="151" t="s">
        <v>97</v>
      </c>
      <c r="M9" s="151" t="s">
        <v>98</v>
      </c>
      <c r="N9" s="151" t="s">
        <v>99</v>
      </c>
      <c r="O9" s="152" t="s">
        <v>100</v>
      </c>
      <c r="P9" s="30"/>
      <c r="Q9" s="30"/>
      <c r="R9" s="30"/>
      <c r="S9" s="30"/>
      <c r="T9" s="30"/>
      <c r="U9" s="30"/>
      <c r="V9" s="30"/>
      <c r="W9" s="30"/>
      <c r="X9" s="30"/>
    </row>
    <row r="10" spans="1:24" ht="21" customHeight="1" x14ac:dyDescent="0.2">
      <c r="A10" s="30"/>
      <c r="B10" s="154" t="s">
        <v>87</v>
      </c>
      <c r="C10" s="155">
        <v>1</v>
      </c>
      <c r="D10" s="155">
        <v>2</v>
      </c>
      <c r="E10" s="155">
        <v>3</v>
      </c>
      <c r="F10" s="155">
        <v>4</v>
      </c>
      <c r="G10" s="155">
        <v>5</v>
      </c>
      <c r="H10" s="155">
        <v>6</v>
      </c>
      <c r="I10" s="155">
        <v>7</v>
      </c>
      <c r="J10" s="155">
        <v>8</v>
      </c>
      <c r="K10" s="155">
        <v>9</v>
      </c>
      <c r="L10" s="155">
        <v>10</v>
      </c>
      <c r="M10" s="155">
        <v>11</v>
      </c>
      <c r="N10" s="156">
        <v>12</v>
      </c>
      <c r="O10" s="216"/>
      <c r="P10" s="30"/>
      <c r="Q10" s="30"/>
      <c r="R10" s="30"/>
      <c r="S10" s="30"/>
      <c r="T10" s="30"/>
      <c r="U10" s="30"/>
      <c r="V10" s="30"/>
      <c r="W10" s="30"/>
      <c r="X10" s="30"/>
    </row>
    <row r="11" spans="1:24" x14ac:dyDescent="0.2">
      <c r="A11" s="30"/>
      <c r="B11" s="217" t="s">
        <v>101</v>
      </c>
      <c r="C11" s="218">
        <f>'2a. Productieve uren'!C9</f>
        <v>0.02</v>
      </c>
      <c r="D11" s="218">
        <f>'2a. Productieve uren'!D9</f>
        <v>0.01</v>
      </c>
      <c r="E11" s="218">
        <f>'2a. Productieve uren'!E9</f>
        <v>1.4999999999999999E-2</v>
      </c>
      <c r="F11" s="218">
        <f>'2a. Productieve uren'!F9</f>
        <v>0.01</v>
      </c>
      <c r="G11" s="218">
        <f>'2a. Productieve uren'!G9</f>
        <v>0.02</v>
      </c>
      <c r="H11" s="218">
        <f>'2a. Productieve uren'!H9</f>
        <v>1.4999999999999999E-2</v>
      </c>
      <c r="I11" s="218">
        <f>'2a. Productieve uren'!I9</f>
        <v>0.03</v>
      </c>
      <c r="J11" s="218">
        <f>'2a. Productieve uren'!J9</f>
        <v>0.02</v>
      </c>
      <c r="K11" s="218">
        <f>'2a. Productieve uren'!K9</f>
        <v>0.03</v>
      </c>
      <c r="L11" s="218">
        <f>'2a. Productieve uren'!L9</f>
        <v>0.04</v>
      </c>
      <c r="M11" s="218">
        <f>'2a. Productieve uren'!M9</f>
        <v>0.04</v>
      </c>
      <c r="N11" s="219">
        <f>'2a. Productieve uren'!N9</f>
        <v>0.03</v>
      </c>
      <c r="O11" s="220">
        <f>AVERAGE(C11:N11)</f>
        <v>2.3333333333333334E-2</v>
      </c>
      <c r="P11" s="30"/>
      <c r="Q11" s="30"/>
      <c r="R11" s="30"/>
      <c r="S11" s="30"/>
      <c r="T11" s="30"/>
      <c r="U11" s="30"/>
      <c r="V11" s="30"/>
      <c r="W11" s="30"/>
      <c r="X11" s="30"/>
    </row>
    <row r="12" spans="1:24" x14ac:dyDescent="0.2">
      <c r="A12" s="30"/>
      <c r="B12" s="217" t="s">
        <v>111</v>
      </c>
      <c r="C12" s="221">
        <f>'2a. Productieve uren'!C10</f>
        <v>1.06</v>
      </c>
      <c r="D12" s="221">
        <f>'2a. Productieve uren'!D10</f>
        <v>0.91</v>
      </c>
      <c r="E12" s="221">
        <f>'2a. Productieve uren'!E10</f>
        <v>0.89</v>
      </c>
      <c r="F12" s="221">
        <f>'2a. Productieve uren'!F10</f>
        <v>1.1599999999999999</v>
      </c>
      <c r="G12" s="221">
        <f>'2a. Productieve uren'!G10</f>
        <v>1.08</v>
      </c>
      <c r="H12" s="221">
        <f>'2a. Productieve uren'!H10</f>
        <v>1.06</v>
      </c>
      <c r="I12" s="221">
        <f>'2a. Productieve uren'!I10</f>
        <v>0.59</v>
      </c>
      <c r="J12" s="221">
        <f>'2a. Productieve uren'!J10</f>
        <v>0.84</v>
      </c>
      <c r="K12" s="221">
        <f>'2a. Productieve uren'!K10</f>
        <v>1.02</v>
      </c>
      <c r="L12" s="221">
        <f>'2a. Productieve uren'!L10</f>
        <v>1.1599999999999999</v>
      </c>
      <c r="M12" s="221">
        <f>'2a. Productieve uren'!M10</f>
        <v>1.1100000000000001</v>
      </c>
      <c r="N12" s="222">
        <f>'2a. Productieve uren'!N10</f>
        <v>1.1200000000000001</v>
      </c>
      <c r="O12" s="223">
        <f t="shared" ref="O12:O25" si="0">SUM(C12:N12)</f>
        <v>12</v>
      </c>
      <c r="P12" s="30"/>
      <c r="Q12" s="30"/>
      <c r="R12" s="30"/>
      <c r="S12" s="30"/>
      <c r="T12" s="30"/>
      <c r="U12" s="30"/>
      <c r="V12" s="30"/>
      <c r="W12" s="30"/>
      <c r="X12" s="30"/>
    </row>
    <row r="13" spans="1:24" x14ac:dyDescent="0.2">
      <c r="A13" s="141"/>
      <c r="B13" s="224" t="s">
        <v>112</v>
      </c>
      <c r="C13" s="225">
        <f t="shared" ref="C13:N13" ca="1" si="1">(SUM(C14:C34)*(1-C$11))</f>
        <v>81982.78853333334</v>
      </c>
      <c r="D13" s="225">
        <f t="shared" ca="1" si="1"/>
        <v>71099.628599999996</v>
      </c>
      <c r="E13" s="225">
        <f t="shared" ca="1" si="1"/>
        <v>69185.802433333331</v>
      </c>
      <c r="F13" s="225">
        <f t="shared" ca="1" si="1"/>
        <v>105423.88559999999</v>
      </c>
      <c r="G13" s="225">
        <f t="shared" ca="1" si="1"/>
        <v>109576.85759999999</v>
      </c>
      <c r="H13" s="225">
        <f t="shared" ca="1" si="1"/>
        <v>108096.36906666668</v>
      </c>
      <c r="I13" s="225">
        <f t="shared" ca="1" si="1"/>
        <v>59250.600533333316</v>
      </c>
      <c r="J13" s="225">
        <f t="shared" ca="1" si="1"/>
        <v>85226.444799999997</v>
      </c>
      <c r="K13" s="225">
        <f t="shared" ca="1" si="1"/>
        <v>102433.24160000001</v>
      </c>
      <c r="L13" s="225">
        <f t="shared" ca="1" si="1"/>
        <v>115291.75039999999</v>
      </c>
      <c r="M13" s="225">
        <f t="shared" ca="1" si="1"/>
        <v>110322.27840000002</v>
      </c>
      <c r="N13" s="226">
        <f t="shared" ca="1" si="1"/>
        <v>112475.71626666667</v>
      </c>
      <c r="O13" s="227">
        <f t="shared" ca="1" si="0"/>
        <v>1130365.3638333334</v>
      </c>
      <c r="P13" s="31"/>
      <c r="Q13" s="31"/>
      <c r="R13" s="31"/>
      <c r="S13" s="31"/>
      <c r="T13" s="31"/>
      <c r="U13" s="31"/>
      <c r="V13" s="31"/>
      <c r="W13" s="31"/>
      <c r="X13" s="31"/>
    </row>
    <row r="14" spans="1:24" x14ac:dyDescent="0.2">
      <c r="A14" s="31"/>
      <c r="B14" s="228" t="str">
        <f ca="1">IFERROR(__xludf.DUMMYFUNCTION("UNIQUE(FILTER('1. Invulsheet medewerkers'!B16:B50,('1. Invulsheet medewerkers'!D16:D50+1)&gt;1))"),"Medewerker 1")</f>
        <v>Medewerker 1</v>
      </c>
      <c r="C14" s="63">
        <f ca="1">IF($B14&gt;0, IF(VLOOKUP($B14,'1. Invulsheet medewerkers'!$B:$N,2,0)&lt;=C$10,(VLOOKUP($B14,'1. Invulsheet medewerkers'!$B:$N,13,0)/12)*C$12,0),)</f>
        <v>11377.333333333332</v>
      </c>
      <c r="D14" s="63">
        <f ca="1">IF($B14&gt;0, IF(VLOOKUP($B14,'1. Invulsheet medewerkers'!$B:$N,2,0)&lt;=D$10,(VLOOKUP($B14,'1. Invulsheet medewerkers'!$B:$N,13,0)/12)*D$12,0),)</f>
        <v>9767.3333333333321</v>
      </c>
      <c r="E14" s="63">
        <f ca="1">IF($B14&gt;0, IF(VLOOKUP($B14,'1. Invulsheet medewerkers'!$B:$N,2,0)&lt;=E$10,(VLOOKUP($B14,'1. Invulsheet medewerkers'!$B:$N,13,0)/12)*E$12,0),)</f>
        <v>9552.6666666666661</v>
      </c>
      <c r="F14" s="63">
        <f ca="1">IF($B14&gt;0, IF(VLOOKUP($B14,'1. Invulsheet medewerkers'!$B:$N,2,0)&lt;=F$10,(VLOOKUP($B14,'1. Invulsheet medewerkers'!$B:$N,13,0)/12)*F$12,0),)</f>
        <v>12450.666666666664</v>
      </c>
      <c r="G14" s="63">
        <f ca="1">IF($B14&gt;0, IF(VLOOKUP($B14,'1. Invulsheet medewerkers'!$B:$N,2,0)&lt;=G$10,(VLOOKUP($B14,'1. Invulsheet medewerkers'!$B:$N,13,0)/12)*G$12,0),)</f>
        <v>11592</v>
      </c>
      <c r="H14" s="63">
        <f ca="1">IF($B14&gt;0, IF(VLOOKUP($B14,'1. Invulsheet medewerkers'!$B:$N,2,0)&lt;=H$10,(VLOOKUP($B14,'1. Invulsheet medewerkers'!$B:$N,13,0)/12)*H$12,0),)</f>
        <v>11377.333333333332</v>
      </c>
      <c r="I14" s="63">
        <f ca="1">IF($B14&gt;0, IF(VLOOKUP($B14,'1. Invulsheet medewerkers'!$B:$N,2,0)&lt;=I$10,(VLOOKUP($B14,'1. Invulsheet medewerkers'!$B:$N,13,0)/12)*I$12,0),)</f>
        <v>6332.6666666666661</v>
      </c>
      <c r="J14" s="63">
        <f ca="1">IF($B14&gt;0, IF(VLOOKUP($B14,'1. Invulsheet medewerkers'!$B:$N,2,0)&lt;=J$10,(VLOOKUP($B14,'1. Invulsheet medewerkers'!$B:$N,13,0)/12)*J$12,0),)</f>
        <v>9015.9999999999982</v>
      </c>
      <c r="K14" s="63">
        <f ca="1">IF($B14&gt;0, IF(VLOOKUP($B14,'1. Invulsheet medewerkers'!$B:$N,2,0)&lt;=K$10,(VLOOKUP($B14,'1. Invulsheet medewerkers'!$B:$N,13,0)/12)*K$12,0),)</f>
        <v>10947.999999999998</v>
      </c>
      <c r="L14" s="63">
        <f ca="1">IF($B14&gt;0, IF(VLOOKUP($B14,'1. Invulsheet medewerkers'!$B:$N,2,0)&lt;=L$10,(VLOOKUP($B14,'1. Invulsheet medewerkers'!$B:$N,13,0)/12)*L$12,0),)</f>
        <v>12450.666666666664</v>
      </c>
      <c r="M14" s="63">
        <f ca="1">IF($B14&gt;0, IF(VLOOKUP($B14,'1. Invulsheet medewerkers'!$B:$N,2,0)&lt;=M$10,(VLOOKUP($B14,'1. Invulsheet medewerkers'!$B:$N,13,0)/12)*M$12,0),)</f>
        <v>11914</v>
      </c>
      <c r="N14" s="229">
        <f ca="1">IF($B14&gt;0, IF(VLOOKUP($B14,'1. Invulsheet medewerkers'!$B:$N,2,0)&lt;=N$10,(VLOOKUP($B14,'1. Invulsheet medewerkers'!$B:$N,13,0)/12)*N$12,0),)</f>
        <v>12021.333333333334</v>
      </c>
      <c r="O14" s="230">
        <f t="shared" ca="1" si="0"/>
        <v>128799.99999999999</v>
      </c>
      <c r="P14" s="31"/>
      <c r="Q14" s="31"/>
      <c r="R14" s="31"/>
      <c r="S14" s="31"/>
      <c r="T14" s="31"/>
      <c r="U14" s="31"/>
      <c r="V14" s="31"/>
      <c r="W14" s="31"/>
      <c r="X14" s="31"/>
    </row>
    <row r="15" spans="1:24" x14ac:dyDescent="0.2">
      <c r="A15" s="31"/>
      <c r="B15" s="231" t="str">
        <f ca="1">IFERROR(__xludf.DUMMYFUNCTION("""COMPUTED_VALUE"""),"Medewerker 2")</f>
        <v>Medewerker 2</v>
      </c>
      <c r="C15" s="74">
        <f ca="1">IF($B15&gt;0, IF(VLOOKUP($B15,'1. Invulsheet medewerkers'!$B:$N,2,0)&lt;=C$10,(VLOOKUP($B15,'1. Invulsheet medewerkers'!$B:$N,13,0)/12)*C$12,0),)</f>
        <v>4063.3333333333335</v>
      </c>
      <c r="D15" s="74">
        <f ca="1">IF($B15&gt;0, IF(VLOOKUP($B15,'1. Invulsheet medewerkers'!$B:$N,2,0)&lt;=D$10,(VLOOKUP($B15,'1. Invulsheet medewerkers'!$B:$N,13,0)/12)*D$12,0),)</f>
        <v>3488.3333333333335</v>
      </c>
      <c r="E15" s="74">
        <f ca="1">IF($B15&gt;0, IF(VLOOKUP($B15,'1. Invulsheet medewerkers'!$B:$N,2,0)&lt;=E$10,(VLOOKUP($B15,'1. Invulsheet medewerkers'!$B:$N,13,0)/12)*E$12,0),)</f>
        <v>3411.666666666667</v>
      </c>
      <c r="F15" s="74">
        <f ca="1">IF($B15&gt;0, IF(VLOOKUP($B15,'1. Invulsheet medewerkers'!$B:$N,2,0)&lt;=F$10,(VLOOKUP($B15,'1. Invulsheet medewerkers'!$B:$N,13,0)/12)*F$12,0),)</f>
        <v>4446.666666666667</v>
      </c>
      <c r="G15" s="74">
        <f ca="1">IF($B15&gt;0, IF(VLOOKUP($B15,'1. Invulsheet medewerkers'!$B:$N,2,0)&lt;=G$10,(VLOOKUP($B15,'1. Invulsheet medewerkers'!$B:$N,13,0)/12)*G$12,0),)</f>
        <v>4140</v>
      </c>
      <c r="H15" s="74">
        <f ca="1">IF($B15&gt;0, IF(VLOOKUP($B15,'1. Invulsheet medewerkers'!$B:$N,2,0)&lt;=H$10,(VLOOKUP($B15,'1. Invulsheet medewerkers'!$B:$N,13,0)/12)*H$12,0),)</f>
        <v>4063.3333333333335</v>
      </c>
      <c r="I15" s="74">
        <f ca="1">IF($B15&gt;0, IF(VLOOKUP($B15,'1. Invulsheet medewerkers'!$B:$N,2,0)&lt;=I$10,(VLOOKUP($B15,'1. Invulsheet medewerkers'!$B:$N,13,0)/12)*I$12,0),)</f>
        <v>2261.6666666666665</v>
      </c>
      <c r="J15" s="74">
        <f ca="1">IF($B15&gt;0, IF(VLOOKUP($B15,'1. Invulsheet medewerkers'!$B:$N,2,0)&lt;=J$10,(VLOOKUP($B15,'1. Invulsheet medewerkers'!$B:$N,13,0)/12)*J$12,0),)</f>
        <v>3220</v>
      </c>
      <c r="K15" s="74">
        <f ca="1">IF($B15&gt;0, IF(VLOOKUP($B15,'1. Invulsheet medewerkers'!$B:$N,2,0)&lt;=K$10,(VLOOKUP($B15,'1. Invulsheet medewerkers'!$B:$N,13,0)/12)*K$12,0),)</f>
        <v>3910</v>
      </c>
      <c r="L15" s="74">
        <f ca="1">IF($B15&gt;0, IF(VLOOKUP($B15,'1. Invulsheet medewerkers'!$B:$N,2,0)&lt;=L$10,(VLOOKUP($B15,'1. Invulsheet medewerkers'!$B:$N,13,0)/12)*L$12,0),)</f>
        <v>4446.666666666667</v>
      </c>
      <c r="M15" s="74">
        <f ca="1">IF($B15&gt;0, IF(VLOOKUP($B15,'1. Invulsheet medewerkers'!$B:$N,2,0)&lt;=M$10,(VLOOKUP($B15,'1. Invulsheet medewerkers'!$B:$N,13,0)/12)*M$12,0),)</f>
        <v>4255.0000000000009</v>
      </c>
      <c r="N15" s="124">
        <f ca="1">IF($B15&gt;0, IF(VLOOKUP($B15,'1. Invulsheet medewerkers'!$B:$N,2,0)&lt;=N$10,(VLOOKUP($B15,'1. Invulsheet medewerkers'!$B:$N,13,0)/12)*N$12,0),)</f>
        <v>4293.3333333333339</v>
      </c>
      <c r="O15" s="230">
        <f t="shared" ca="1" si="0"/>
        <v>46000</v>
      </c>
      <c r="P15" s="31"/>
      <c r="Q15" s="31"/>
      <c r="R15" s="31"/>
      <c r="S15" s="31"/>
      <c r="T15" s="31"/>
      <c r="U15" s="31"/>
      <c r="V15" s="31"/>
      <c r="W15" s="31"/>
      <c r="X15" s="31"/>
    </row>
    <row r="16" spans="1:24" x14ac:dyDescent="0.2">
      <c r="A16" s="31"/>
      <c r="B16" s="228" t="str">
        <f ca="1">IFERROR(__xludf.DUMMYFUNCTION("""COMPUTED_VALUE"""),"Medewerker 3")</f>
        <v>Medewerker 3</v>
      </c>
      <c r="C16" s="63">
        <f ca="1">IF($B16&gt;0, IF(VLOOKUP($B16,'1. Invulsheet medewerkers'!$B:$N,2,0)&lt;=C$10,(VLOOKUP($B16,'1. Invulsheet medewerkers'!$B:$N,13,0)/12)*C$12,0),)</f>
        <v>18203.733333333334</v>
      </c>
      <c r="D16" s="63">
        <f ca="1">IF($B16&gt;0, IF(VLOOKUP($B16,'1. Invulsheet medewerkers'!$B:$N,2,0)&lt;=D$10,(VLOOKUP($B16,'1. Invulsheet medewerkers'!$B:$N,13,0)/12)*D$12,0),)</f>
        <v>15627.733333333334</v>
      </c>
      <c r="E16" s="63">
        <f ca="1">IF($B16&gt;0, IF(VLOOKUP($B16,'1. Invulsheet medewerkers'!$B:$N,2,0)&lt;=E$10,(VLOOKUP($B16,'1. Invulsheet medewerkers'!$B:$N,13,0)/12)*E$12,0),)</f>
        <v>15284.266666666666</v>
      </c>
      <c r="F16" s="63">
        <f ca="1">IF($B16&gt;0, IF(VLOOKUP($B16,'1. Invulsheet medewerkers'!$B:$N,2,0)&lt;=F$10,(VLOOKUP($B16,'1. Invulsheet medewerkers'!$B:$N,13,0)/12)*F$12,0),)</f>
        <v>19921.066666666666</v>
      </c>
      <c r="G16" s="63">
        <f ca="1">IF($B16&gt;0, IF(VLOOKUP($B16,'1. Invulsheet medewerkers'!$B:$N,2,0)&lt;=G$10,(VLOOKUP($B16,'1. Invulsheet medewerkers'!$B:$N,13,0)/12)*G$12,0),)</f>
        <v>18547.2</v>
      </c>
      <c r="H16" s="63">
        <f ca="1">IF($B16&gt;0, IF(VLOOKUP($B16,'1. Invulsheet medewerkers'!$B:$N,2,0)&lt;=H$10,(VLOOKUP($B16,'1. Invulsheet medewerkers'!$B:$N,13,0)/12)*H$12,0),)</f>
        <v>18203.733333333334</v>
      </c>
      <c r="I16" s="63">
        <f ca="1">IF($B16&gt;0, IF(VLOOKUP($B16,'1. Invulsheet medewerkers'!$B:$N,2,0)&lt;=I$10,(VLOOKUP($B16,'1. Invulsheet medewerkers'!$B:$N,13,0)/12)*I$12,0),)</f>
        <v>10132.266666666665</v>
      </c>
      <c r="J16" s="63">
        <f ca="1">IF($B16&gt;0, IF(VLOOKUP($B16,'1. Invulsheet medewerkers'!$B:$N,2,0)&lt;=J$10,(VLOOKUP($B16,'1. Invulsheet medewerkers'!$B:$N,13,0)/12)*J$12,0),)</f>
        <v>14425.599999999999</v>
      </c>
      <c r="K16" s="63">
        <f ca="1">IF($B16&gt;0, IF(VLOOKUP($B16,'1. Invulsheet medewerkers'!$B:$N,2,0)&lt;=K$10,(VLOOKUP($B16,'1. Invulsheet medewerkers'!$B:$N,13,0)/12)*K$12,0),)</f>
        <v>17516.8</v>
      </c>
      <c r="L16" s="63">
        <f ca="1">IF($B16&gt;0, IF(VLOOKUP($B16,'1. Invulsheet medewerkers'!$B:$N,2,0)&lt;=L$10,(VLOOKUP($B16,'1. Invulsheet medewerkers'!$B:$N,13,0)/12)*L$12,0),)</f>
        <v>19921.066666666666</v>
      </c>
      <c r="M16" s="63">
        <f ca="1">IF($B16&gt;0, IF(VLOOKUP($B16,'1. Invulsheet medewerkers'!$B:$N,2,0)&lt;=M$10,(VLOOKUP($B16,'1. Invulsheet medewerkers'!$B:$N,13,0)/12)*M$12,0),)</f>
        <v>19062.400000000001</v>
      </c>
      <c r="N16" s="229">
        <f ca="1">IF($B16&gt;0, IF(VLOOKUP($B16,'1. Invulsheet medewerkers'!$B:$N,2,0)&lt;=N$10,(VLOOKUP($B16,'1. Invulsheet medewerkers'!$B:$N,13,0)/12)*N$12,0),)</f>
        <v>19234.133333333335</v>
      </c>
      <c r="O16" s="230">
        <f t="shared" ca="1" si="0"/>
        <v>206080</v>
      </c>
      <c r="P16" s="31"/>
      <c r="Q16" s="31"/>
      <c r="R16" s="31"/>
      <c r="S16" s="31"/>
      <c r="T16" s="31"/>
      <c r="U16" s="31"/>
      <c r="V16" s="31"/>
      <c r="W16" s="31"/>
      <c r="X16" s="31"/>
    </row>
    <row r="17" spans="1:24" x14ac:dyDescent="0.2">
      <c r="A17" s="31"/>
      <c r="B17" s="231" t="str">
        <f ca="1">IFERROR(__xludf.DUMMYFUNCTION("""COMPUTED_VALUE"""),"Medewerker 4")</f>
        <v>Medewerker 4</v>
      </c>
      <c r="C17" s="74">
        <f ca="1">IF($B17&gt;0, IF(VLOOKUP($B17,'1. Invulsheet medewerkers'!$B:$N,2,0)&lt;=C$10,(VLOOKUP($B17,'1. Invulsheet medewerkers'!$B:$N,13,0)/12)*C$12,0),)</f>
        <v>16253.333333333334</v>
      </c>
      <c r="D17" s="74">
        <f ca="1">IF($B17&gt;0, IF(VLOOKUP($B17,'1. Invulsheet medewerkers'!$B:$N,2,0)&lt;=D$10,(VLOOKUP($B17,'1. Invulsheet medewerkers'!$B:$N,13,0)/12)*D$12,0),)</f>
        <v>13953.333333333334</v>
      </c>
      <c r="E17" s="74">
        <f ca="1">IF($B17&gt;0, IF(VLOOKUP($B17,'1. Invulsheet medewerkers'!$B:$N,2,0)&lt;=E$10,(VLOOKUP($B17,'1. Invulsheet medewerkers'!$B:$N,13,0)/12)*E$12,0),)</f>
        <v>13646.666666666668</v>
      </c>
      <c r="F17" s="74">
        <f ca="1">IF($B17&gt;0, IF(VLOOKUP($B17,'1. Invulsheet medewerkers'!$B:$N,2,0)&lt;=F$10,(VLOOKUP($B17,'1. Invulsheet medewerkers'!$B:$N,13,0)/12)*F$12,0),)</f>
        <v>17786.666666666668</v>
      </c>
      <c r="G17" s="74">
        <f ca="1">IF($B17&gt;0, IF(VLOOKUP($B17,'1. Invulsheet medewerkers'!$B:$N,2,0)&lt;=G$10,(VLOOKUP($B17,'1. Invulsheet medewerkers'!$B:$N,13,0)/12)*G$12,0),)</f>
        <v>16560</v>
      </c>
      <c r="H17" s="74">
        <f ca="1">IF($B17&gt;0, IF(VLOOKUP($B17,'1. Invulsheet medewerkers'!$B:$N,2,0)&lt;=H$10,(VLOOKUP($B17,'1. Invulsheet medewerkers'!$B:$N,13,0)/12)*H$12,0),)</f>
        <v>16253.333333333334</v>
      </c>
      <c r="I17" s="74">
        <f ca="1">IF($B17&gt;0, IF(VLOOKUP($B17,'1. Invulsheet medewerkers'!$B:$N,2,0)&lt;=I$10,(VLOOKUP($B17,'1. Invulsheet medewerkers'!$B:$N,13,0)/12)*I$12,0),)</f>
        <v>9046.6666666666661</v>
      </c>
      <c r="J17" s="74">
        <f ca="1">IF($B17&gt;0, IF(VLOOKUP($B17,'1. Invulsheet medewerkers'!$B:$N,2,0)&lt;=J$10,(VLOOKUP($B17,'1. Invulsheet medewerkers'!$B:$N,13,0)/12)*J$12,0),)</f>
        <v>12880</v>
      </c>
      <c r="K17" s="74">
        <f ca="1">IF($B17&gt;0, IF(VLOOKUP($B17,'1. Invulsheet medewerkers'!$B:$N,2,0)&lt;=K$10,(VLOOKUP($B17,'1. Invulsheet medewerkers'!$B:$N,13,0)/12)*K$12,0),)</f>
        <v>15640</v>
      </c>
      <c r="L17" s="74">
        <f ca="1">IF($B17&gt;0, IF(VLOOKUP($B17,'1. Invulsheet medewerkers'!$B:$N,2,0)&lt;=L$10,(VLOOKUP($B17,'1. Invulsheet medewerkers'!$B:$N,13,0)/12)*L$12,0),)</f>
        <v>17786.666666666668</v>
      </c>
      <c r="M17" s="74">
        <f ca="1">IF($B17&gt;0, IF(VLOOKUP($B17,'1. Invulsheet medewerkers'!$B:$N,2,0)&lt;=M$10,(VLOOKUP($B17,'1. Invulsheet medewerkers'!$B:$N,13,0)/12)*M$12,0),)</f>
        <v>17020.000000000004</v>
      </c>
      <c r="N17" s="124">
        <f ca="1">IF($B17&gt;0, IF(VLOOKUP($B17,'1. Invulsheet medewerkers'!$B:$N,2,0)&lt;=N$10,(VLOOKUP($B17,'1. Invulsheet medewerkers'!$B:$N,13,0)/12)*N$12,0),)</f>
        <v>17173.333333333336</v>
      </c>
      <c r="O17" s="230">
        <f t="shared" ca="1" si="0"/>
        <v>184000</v>
      </c>
      <c r="P17" s="31"/>
      <c r="Q17" s="31"/>
      <c r="R17" s="31"/>
      <c r="S17" s="31"/>
      <c r="T17" s="31"/>
      <c r="U17" s="31"/>
      <c r="V17" s="31"/>
      <c r="W17" s="31"/>
      <c r="X17" s="31"/>
    </row>
    <row r="18" spans="1:24" x14ac:dyDescent="0.2">
      <c r="A18" s="31"/>
      <c r="B18" s="228" t="str">
        <f ca="1">IFERROR(__xludf.DUMMYFUNCTION("""COMPUTED_VALUE"""),"Medewerker 5")</f>
        <v>Medewerker 5</v>
      </c>
      <c r="C18" s="63">
        <f ca="1">IF($B18&gt;0, IF(VLOOKUP($B18,'1. Invulsheet medewerkers'!$B:$N,2,0)&lt;=C$10,(VLOOKUP($B18,'1. Invulsheet medewerkers'!$B:$N,13,0)/12)*C$12,0),)</f>
        <v>12433.800000000001</v>
      </c>
      <c r="D18" s="63">
        <f ca="1">IF($B18&gt;0, IF(VLOOKUP($B18,'1. Invulsheet medewerkers'!$B:$N,2,0)&lt;=D$10,(VLOOKUP($B18,'1. Invulsheet medewerkers'!$B:$N,13,0)/12)*D$12,0),)</f>
        <v>10674.300000000001</v>
      </c>
      <c r="E18" s="63">
        <f ca="1">IF($B18&gt;0, IF(VLOOKUP($B18,'1. Invulsheet medewerkers'!$B:$N,2,0)&lt;=E$10,(VLOOKUP($B18,'1. Invulsheet medewerkers'!$B:$N,13,0)/12)*E$12,0),)</f>
        <v>10439.700000000001</v>
      </c>
      <c r="F18" s="63">
        <f ca="1">IF($B18&gt;0, IF(VLOOKUP($B18,'1. Invulsheet medewerkers'!$B:$N,2,0)&lt;=F$10,(VLOOKUP($B18,'1. Invulsheet medewerkers'!$B:$N,13,0)/12)*F$12,0),)</f>
        <v>13606.8</v>
      </c>
      <c r="G18" s="63">
        <f ca="1">IF($B18&gt;0, IF(VLOOKUP($B18,'1. Invulsheet medewerkers'!$B:$N,2,0)&lt;=G$10,(VLOOKUP($B18,'1. Invulsheet medewerkers'!$B:$N,13,0)/12)*G$12,0),)</f>
        <v>12668.400000000001</v>
      </c>
      <c r="H18" s="63">
        <f ca="1">IF($B18&gt;0, IF(VLOOKUP($B18,'1. Invulsheet medewerkers'!$B:$N,2,0)&lt;=H$10,(VLOOKUP($B18,'1. Invulsheet medewerkers'!$B:$N,13,0)/12)*H$12,0),)</f>
        <v>12433.800000000001</v>
      </c>
      <c r="I18" s="63">
        <f ca="1">IF($B18&gt;0, IF(VLOOKUP($B18,'1. Invulsheet medewerkers'!$B:$N,2,0)&lt;=I$10,(VLOOKUP($B18,'1. Invulsheet medewerkers'!$B:$N,13,0)/12)*I$12,0),)</f>
        <v>6920.7</v>
      </c>
      <c r="J18" s="63">
        <f ca="1">IF($B18&gt;0, IF(VLOOKUP($B18,'1. Invulsheet medewerkers'!$B:$N,2,0)&lt;=J$10,(VLOOKUP($B18,'1. Invulsheet medewerkers'!$B:$N,13,0)/12)*J$12,0),)</f>
        <v>9853.1999999999989</v>
      </c>
      <c r="K18" s="63">
        <f ca="1">IF($B18&gt;0, IF(VLOOKUP($B18,'1. Invulsheet medewerkers'!$B:$N,2,0)&lt;=K$10,(VLOOKUP($B18,'1. Invulsheet medewerkers'!$B:$N,13,0)/12)*K$12,0),)</f>
        <v>11964.6</v>
      </c>
      <c r="L18" s="63">
        <f ca="1">IF($B18&gt;0, IF(VLOOKUP($B18,'1. Invulsheet medewerkers'!$B:$N,2,0)&lt;=L$10,(VLOOKUP($B18,'1. Invulsheet medewerkers'!$B:$N,13,0)/12)*L$12,0),)</f>
        <v>13606.8</v>
      </c>
      <c r="M18" s="63">
        <f ca="1">IF($B18&gt;0, IF(VLOOKUP($B18,'1. Invulsheet medewerkers'!$B:$N,2,0)&lt;=M$10,(VLOOKUP($B18,'1. Invulsheet medewerkers'!$B:$N,13,0)/12)*M$12,0),)</f>
        <v>13020.300000000001</v>
      </c>
      <c r="N18" s="229">
        <f ca="1">IF($B18&gt;0, IF(VLOOKUP($B18,'1. Invulsheet medewerkers'!$B:$N,2,0)&lt;=N$10,(VLOOKUP($B18,'1. Invulsheet medewerkers'!$B:$N,13,0)/12)*N$12,0),)</f>
        <v>13137.6</v>
      </c>
      <c r="O18" s="230">
        <f t="shared" ca="1" si="0"/>
        <v>140760</v>
      </c>
      <c r="P18" s="31"/>
      <c r="Q18" s="31"/>
      <c r="R18" s="31"/>
      <c r="S18" s="31"/>
      <c r="T18" s="31"/>
      <c r="U18" s="31"/>
      <c r="V18" s="31"/>
      <c r="W18" s="31"/>
      <c r="X18" s="31"/>
    </row>
    <row r="19" spans="1:24" x14ac:dyDescent="0.2">
      <c r="A19" s="31"/>
      <c r="B19" s="231" t="str">
        <f ca="1">IFERROR(__xludf.DUMMYFUNCTION("""COMPUTED_VALUE"""),"Medewerker 6")</f>
        <v>Medewerker 6</v>
      </c>
      <c r="C19" s="74">
        <f ca="1">IF($B19&gt;0, IF(VLOOKUP($B19,'1. Invulsheet medewerkers'!$B:$N,2,0)&lt;=C$10,(VLOOKUP($B19,'1. Invulsheet medewerkers'!$B:$N,13,0)/12)*C$12,0),)</f>
        <v>9947.0400000000027</v>
      </c>
      <c r="D19" s="74">
        <f ca="1">IF($B19&gt;0, IF(VLOOKUP($B19,'1. Invulsheet medewerkers'!$B:$N,2,0)&lt;=D$10,(VLOOKUP($B19,'1. Invulsheet medewerkers'!$B:$N,13,0)/12)*D$12,0),)</f>
        <v>8539.4400000000023</v>
      </c>
      <c r="E19" s="74">
        <f ca="1">IF($B19&gt;0, IF(VLOOKUP($B19,'1. Invulsheet medewerkers'!$B:$N,2,0)&lt;=E$10,(VLOOKUP($B19,'1. Invulsheet medewerkers'!$B:$N,13,0)/12)*E$12,0),)</f>
        <v>8351.760000000002</v>
      </c>
      <c r="F19" s="74">
        <f ca="1">IF($B19&gt;0, IF(VLOOKUP($B19,'1. Invulsheet medewerkers'!$B:$N,2,0)&lt;=F$10,(VLOOKUP($B19,'1. Invulsheet medewerkers'!$B:$N,13,0)/12)*F$12,0),)</f>
        <v>10885.44</v>
      </c>
      <c r="G19" s="74">
        <f ca="1">IF($B19&gt;0, IF(VLOOKUP($B19,'1. Invulsheet medewerkers'!$B:$N,2,0)&lt;=G$10,(VLOOKUP($B19,'1. Invulsheet medewerkers'!$B:$N,13,0)/12)*G$12,0),)</f>
        <v>10134.720000000003</v>
      </c>
      <c r="H19" s="74">
        <f ca="1">IF($B19&gt;0, IF(VLOOKUP($B19,'1. Invulsheet medewerkers'!$B:$N,2,0)&lt;=H$10,(VLOOKUP($B19,'1. Invulsheet medewerkers'!$B:$N,13,0)/12)*H$12,0),)</f>
        <v>9947.0400000000027</v>
      </c>
      <c r="I19" s="74">
        <f ca="1">IF($B19&gt;0, IF(VLOOKUP($B19,'1. Invulsheet medewerkers'!$B:$N,2,0)&lt;=I$10,(VLOOKUP($B19,'1. Invulsheet medewerkers'!$B:$N,13,0)/12)*I$12,0),)</f>
        <v>5536.56</v>
      </c>
      <c r="J19" s="74">
        <f ca="1">IF($B19&gt;0, IF(VLOOKUP($B19,'1. Invulsheet medewerkers'!$B:$N,2,0)&lt;=J$10,(VLOOKUP($B19,'1. Invulsheet medewerkers'!$B:$N,13,0)/12)*J$12,0),)</f>
        <v>7882.5600000000013</v>
      </c>
      <c r="K19" s="74">
        <f ca="1">IF($B19&gt;0, IF(VLOOKUP($B19,'1. Invulsheet medewerkers'!$B:$N,2,0)&lt;=K$10,(VLOOKUP($B19,'1. Invulsheet medewerkers'!$B:$N,13,0)/12)*K$12,0),)</f>
        <v>9571.6800000000021</v>
      </c>
      <c r="L19" s="74">
        <f ca="1">IF($B19&gt;0, IF(VLOOKUP($B19,'1. Invulsheet medewerkers'!$B:$N,2,0)&lt;=L$10,(VLOOKUP($B19,'1. Invulsheet medewerkers'!$B:$N,13,0)/12)*L$12,0),)</f>
        <v>10885.44</v>
      </c>
      <c r="M19" s="74">
        <f ca="1">IF($B19&gt;0, IF(VLOOKUP($B19,'1. Invulsheet medewerkers'!$B:$N,2,0)&lt;=M$10,(VLOOKUP($B19,'1. Invulsheet medewerkers'!$B:$N,13,0)/12)*M$12,0),)</f>
        <v>10416.240000000003</v>
      </c>
      <c r="N19" s="124">
        <f ca="1">IF($B19&gt;0, IF(VLOOKUP($B19,'1. Invulsheet medewerkers'!$B:$N,2,0)&lt;=N$10,(VLOOKUP($B19,'1. Invulsheet medewerkers'!$B:$N,13,0)/12)*N$12,0),)</f>
        <v>10510.080000000004</v>
      </c>
      <c r="O19" s="230">
        <f t="shared" ca="1" si="0"/>
        <v>112608.00000000003</v>
      </c>
      <c r="P19" s="31"/>
      <c r="Q19" s="31"/>
      <c r="R19" s="31"/>
      <c r="S19" s="31"/>
      <c r="T19" s="31"/>
      <c r="U19" s="31"/>
      <c r="V19" s="31"/>
      <c r="W19" s="31"/>
      <c r="X19" s="31"/>
    </row>
    <row r="20" spans="1:24" x14ac:dyDescent="0.2">
      <c r="A20" s="31"/>
      <c r="B20" s="228" t="str">
        <f ca="1">IFERROR(__xludf.DUMMYFUNCTION("""COMPUTED_VALUE"""),"Medewerker 7")</f>
        <v>Medewerker 7</v>
      </c>
      <c r="C20" s="63">
        <f ca="1">IF($B20&gt;0, IF(VLOOKUP($B20,'1. Invulsheet medewerkers'!$B:$N,2,0)&lt;=C$10,(VLOOKUP($B20,'1. Invulsheet medewerkers'!$B:$N,13,0)/12)*C$12,0),)</f>
        <v>11377.333333333332</v>
      </c>
      <c r="D20" s="63">
        <f ca="1">IF($B20&gt;0, IF(VLOOKUP($B20,'1. Invulsheet medewerkers'!$B:$N,2,0)&lt;=D$10,(VLOOKUP($B20,'1. Invulsheet medewerkers'!$B:$N,13,0)/12)*D$12,0),)</f>
        <v>9767.3333333333321</v>
      </c>
      <c r="E20" s="63">
        <f ca="1">IF($B20&gt;0, IF(VLOOKUP($B20,'1. Invulsheet medewerkers'!$B:$N,2,0)&lt;=E$10,(VLOOKUP($B20,'1. Invulsheet medewerkers'!$B:$N,13,0)/12)*E$12,0),)</f>
        <v>9552.6666666666661</v>
      </c>
      <c r="F20" s="63">
        <f ca="1">IF($B20&gt;0, IF(VLOOKUP($B20,'1. Invulsheet medewerkers'!$B:$N,2,0)&lt;=F$10,(VLOOKUP($B20,'1. Invulsheet medewerkers'!$B:$N,13,0)/12)*F$12,0),)</f>
        <v>12450.666666666664</v>
      </c>
      <c r="G20" s="63">
        <f ca="1">IF($B20&gt;0, IF(VLOOKUP($B20,'1. Invulsheet medewerkers'!$B:$N,2,0)&lt;=G$10,(VLOOKUP($B20,'1. Invulsheet medewerkers'!$B:$N,13,0)/12)*G$12,0),)</f>
        <v>11592</v>
      </c>
      <c r="H20" s="63">
        <f ca="1">IF($B20&gt;0, IF(VLOOKUP($B20,'1. Invulsheet medewerkers'!$B:$N,2,0)&lt;=H$10,(VLOOKUP($B20,'1. Invulsheet medewerkers'!$B:$N,13,0)/12)*H$12,0),)</f>
        <v>11377.333333333332</v>
      </c>
      <c r="I20" s="63">
        <f ca="1">IF($B20&gt;0, IF(VLOOKUP($B20,'1. Invulsheet medewerkers'!$B:$N,2,0)&lt;=I$10,(VLOOKUP($B20,'1. Invulsheet medewerkers'!$B:$N,13,0)/12)*I$12,0),)</f>
        <v>6332.6666666666661</v>
      </c>
      <c r="J20" s="63">
        <f ca="1">IF($B20&gt;0, IF(VLOOKUP($B20,'1. Invulsheet medewerkers'!$B:$N,2,0)&lt;=J$10,(VLOOKUP($B20,'1. Invulsheet medewerkers'!$B:$N,13,0)/12)*J$12,0),)</f>
        <v>9015.9999999999982</v>
      </c>
      <c r="K20" s="63">
        <f ca="1">IF($B20&gt;0, IF(VLOOKUP($B20,'1. Invulsheet medewerkers'!$B:$N,2,0)&lt;=K$10,(VLOOKUP($B20,'1. Invulsheet medewerkers'!$B:$N,13,0)/12)*K$12,0),)</f>
        <v>10947.999999999998</v>
      </c>
      <c r="L20" s="63">
        <f ca="1">IF($B20&gt;0, IF(VLOOKUP($B20,'1. Invulsheet medewerkers'!$B:$N,2,0)&lt;=L$10,(VLOOKUP($B20,'1. Invulsheet medewerkers'!$B:$N,13,0)/12)*L$12,0),)</f>
        <v>12450.666666666664</v>
      </c>
      <c r="M20" s="63">
        <f ca="1">IF($B20&gt;0, IF(VLOOKUP($B20,'1. Invulsheet medewerkers'!$B:$N,2,0)&lt;=M$10,(VLOOKUP($B20,'1. Invulsheet medewerkers'!$B:$N,13,0)/12)*M$12,0),)</f>
        <v>11914</v>
      </c>
      <c r="N20" s="229">
        <f ca="1">IF($B20&gt;0, IF(VLOOKUP($B20,'1. Invulsheet medewerkers'!$B:$N,2,0)&lt;=N$10,(VLOOKUP($B20,'1. Invulsheet medewerkers'!$B:$N,13,0)/12)*N$12,0),)</f>
        <v>12021.333333333334</v>
      </c>
      <c r="O20" s="230">
        <f t="shared" ca="1" si="0"/>
        <v>128799.99999999999</v>
      </c>
      <c r="P20" s="31"/>
      <c r="Q20" s="31"/>
      <c r="R20" s="31"/>
      <c r="S20" s="31"/>
      <c r="T20" s="31"/>
      <c r="U20" s="31"/>
      <c r="V20" s="31"/>
      <c r="W20" s="31"/>
      <c r="X20" s="31"/>
    </row>
    <row r="21" spans="1:24" x14ac:dyDescent="0.2">
      <c r="A21" s="31"/>
      <c r="B21" s="231" t="str">
        <f ca="1">IFERROR(__xludf.DUMMYFUNCTION("""COMPUTED_VALUE"""),"Vacature 1")</f>
        <v>Vacature 1</v>
      </c>
      <c r="C21" s="74">
        <f ca="1">IF($B21&gt;0, IF(VLOOKUP($B21,'1. Invulsheet medewerkers'!$B:$N,2,0)&lt;=C$10,(VLOOKUP($B21,'1. Invulsheet medewerkers'!$B:$N,13,0)/12)*C$12,0),)</f>
        <v>0</v>
      </c>
      <c r="D21" s="74">
        <f ca="1">IF($B21&gt;0, IF(VLOOKUP($B21,'1. Invulsheet medewerkers'!$B:$N,2,0)&lt;=D$10,(VLOOKUP($B21,'1. Invulsheet medewerkers'!$B:$N,13,0)/12)*D$12,0),)</f>
        <v>0</v>
      </c>
      <c r="E21" s="74">
        <f ca="1">IF($B21&gt;0, IF(VLOOKUP($B21,'1. Invulsheet medewerkers'!$B:$N,2,0)&lt;=E$10,(VLOOKUP($B21,'1. Invulsheet medewerkers'!$B:$N,13,0)/12)*E$12,0),)</f>
        <v>0</v>
      </c>
      <c r="F21" s="74">
        <f ca="1">IF($B21&gt;0, IF(VLOOKUP($B21,'1. Invulsheet medewerkers'!$B:$N,2,0)&lt;=F$10,(VLOOKUP($B21,'1. Invulsheet medewerkers'!$B:$N,13,0)/12)*F$12,0),)</f>
        <v>14940.8</v>
      </c>
      <c r="G21" s="74">
        <f ca="1">IF($B21&gt;0, IF(VLOOKUP($B21,'1. Invulsheet medewerkers'!$B:$N,2,0)&lt;=G$10,(VLOOKUP($B21,'1. Invulsheet medewerkers'!$B:$N,13,0)/12)*G$12,0),)</f>
        <v>13910.400000000001</v>
      </c>
      <c r="H21" s="74">
        <f ca="1">IF($B21&gt;0, IF(VLOOKUP($B21,'1. Invulsheet medewerkers'!$B:$N,2,0)&lt;=H$10,(VLOOKUP($B21,'1. Invulsheet medewerkers'!$B:$N,13,0)/12)*H$12,0),)</f>
        <v>13652.800000000001</v>
      </c>
      <c r="I21" s="74">
        <f ca="1">IF($B21&gt;0, IF(VLOOKUP($B21,'1. Invulsheet medewerkers'!$B:$N,2,0)&lt;=I$10,(VLOOKUP($B21,'1. Invulsheet medewerkers'!$B:$N,13,0)/12)*I$12,0),)</f>
        <v>7599.2</v>
      </c>
      <c r="J21" s="74">
        <f ca="1">IF($B21&gt;0, IF(VLOOKUP($B21,'1. Invulsheet medewerkers'!$B:$N,2,0)&lt;=J$10,(VLOOKUP($B21,'1. Invulsheet medewerkers'!$B:$N,13,0)/12)*J$12,0),)</f>
        <v>10819.199999999999</v>
      </c>
      <c r="K21" s="74">
        <f ca="1">IF($B21&gt;0, IF(VLOOKUP($B21,'1. Invulsheet medewerkers'!$B:$N,2,0)&lt;=K$10,(VLOOKUP($B21,'1. Invulsheet medewerkers'!$B:$N,13,0)/12)*K$12,0),)</f>
        <v>13137.6</v>
      </c>
      <c r="L21" s="74">
        <f ca="1">IF($B21&gt;0, IF(VLOOKUP($B21,'1. Invulsheet medewerkers'!$B:$N,2,0)&lt;=L$10,(VLOOKUP($B21,'1. Invulsheet medewerkers'!$B:$N,13,0)/12)*L$12,0),)</f>
        <v>14940.8</v>
      </c>
      <c r="M21" s="74">
        <f ca="1">IF($B21&gt;0, IF(VLOOKUP($B21,'1. Invulsheet medewerkers'!$B:$N,2,0)&lt;=M$10,(VLOOKUP($B21,'1. Invulsheet medewerkers'!$B:$N,13,0)/12)*M$12,0),)</f>
        <v>14296.800000000001</v>
      </c>
      <c r="N21" s="124">
        <f ca="1">IF($B21&gt;0, IF(VLOOKUP($B21,'1. Invulsheet medewerkers'!$B:$N,2,0)&lt;=N$10,(VLOOKUP($B21,'1. Invulsheet medewerkers'!$B:$N,13,0)/12)*N$12,0),)</f>
        <v>14425.600000000002</v>
      </c>
      <c r="O21" s="230">
        <f t="shared" ca="1" si="0"/>
        <v>117723.20000000001</v>
      </c>
      <c r="P21" s="31"/>
      <c r="Q21" s="31"/>
      <c r="R21" s="31"/>
      <c r="S21" s="31"/>
      <c r="T21" s="31"/>
      <c r="U21" s="31"/>
      <c r="V21" s="31"/>
      <c r="W21" s="31"/>
      <c r="X21" s="31"/>
    </row>
    <row r="22" spans="1:24" x14ac:dyDescent="0.2">
      <c r="A22" s="31"/>
      <c r="B22" s="228" t="str">
        <f ca="1">IFERROR(__xludf.DUMMYFUNCTION("""COMPUTED_VALUE"""),"Vacature 2")</f>
        <v>Vacature 2</v>
      </c>
      <c r="C22" s="63">
        <f ca="1">IF($B22&gt;0, IF(VLOOKUP($B22,'1. Invulsheet medewerkers'!$B:$N,2,0)&lt;=C$10,(VLOOKUP($B22,'1. Invulsheet medewerkers'!$B:$N,13,0)/12)*C$12,0),)</f>
        <v>0</v>
      </c>
      <c r="D22" s="63">
        <f ca="1">IF($B22&gt;0, IF(VLOOKUP($B22,'1. Invulsheet medewerkers'!$B:$N,2,0)&lt;=D$10,(VLOOKUP($B22,'1. Invulsheet medewerkers'!$B:$N,13,0)/12)*D$12,0),)</f>
        <v>0</v>
      </c>
      <c r="E22" s="63">
        <f ca="1">IF($B22&gt;0, IF(VLOOKUP($B22,'1. Invulsheet medewerkers'!$B:$N,2,0)&lt;=E$10,(VLOOKUP($B22,'1. Invulsheet medewerkers'!$B:$N,13,0)/12)*E$12,0),)</f>
        <v>0</v>
      </c>
      <c r="F22" s="63">
        <f ca="1">IF($B22&gt;0, IF(VLOOKUP($B22,'1. Invulsheet medewerkers'!$B:$N,2,0)&lt;=F$10,(VLOOKUP($B22,'1. Invulsheet medewerkers'!$B:$N,13,0)/12)*F$12,0),)</f>
        <v>0</v>
      </c>
      <c r="G22" s="63">
        <f ca="1">IF($B22&gt;0, IF(VLOOKUP($B22,'1. Invulsheet medewerkers'!$B:$N,2,0)&lt;=G$10,(VLOOKUP($B22,'1. Invulsheet medewerkers'!$B:$N,13,0)/12)*G$12,0),)</f>
        <v>12668.400000000001</v>
      </c>
      <c r="H22" s="63">
        <f ca="1">IF($B22&gt;0, IF(VLOOKUP($B22,'1. Invulsheet medewerkers'!$B:$N,2,0)&lt;=H$10,(VLOOKUP($B22,'1. Invulsheet medewerkers'!$B:$N,13,0)/12)*H$12,0),)</f>
        <v>12433.800000000001</v>
      </c>
      <c r="I22" s="63">
        <f ca="1">IF($B22&gt;0, IF(VLOOKUP($B22,'1. Invulsheet medewerkers'!$B:$N,2,0)&lt;=I$10,(VLOOKUP($B22,'1. Invulsheet medewerkers'!$B:$N,13,0)/12)*I$12,0),)</f>
        <v>6920.7</v>
      </c>
      <c r="J22" s="63">
        <f ca="1">IF($B22&gt;0, IF(VLOOKUP($B22,'1. Invulsheet medewerkers'!$B:$N,2,0)&lt;=J$10,(VLOOKUP($B22,'1. Invulsheet medewerkers'!$B:$N,13,0)/12)*J$12,0),)</f>
        <v>9853.1999999999989</v>
      </c>
      <c r="K22" s="63">
        <f ca="1">IF($B22&gt;0, IF(VLOOKUP($B22,'1. Invulsheet medewerkers'!$B:$N,2,0)&lt;=K$10,(VLOOKUP($B22,'1. Invulsheet medewerkers'!$B:$N,13,0)/12)*K$12,0),)</f>
        <v>11964.6</v>
      </c>
      <c r="L22" s="63">
        <f ca="1">IF($B22&gt;0, IF(VLOOKUP($B22,'1. Invulsheet medewerkers'!$B:$N,2,0)&lt;=L$10,(VLOOKUP($B22,'1. Invulsheet medewerkers'!$B:$N,13,0)/12)*L$12,0),)</f>
        <v>13606.8</v>
      </c>
      <c r="M22" s="63">
        <f ca="1">IF($B22&gt;0, IF(VLOOKUP($B22,'1. Invulsheet medewerkers'!$B:$N,2,0)&lt;=M$10,(VLOOKUP($B22,'1. Invulsheet medewerkers'!$B:$N,13,0)/12)*M$12,0),)</f>
        <v>13020.300000000001</v>
      </c>
      <c r="N22" s="229">
        <f ca="1">IF($B22&gt;0, IF(VLOOKUP($B22,'1. Invulsheet medewerkers'!$B:$N,2,0)&lt;=N$10,(VLOOKUP($B22,'1. Invulsheet medewerkers'!$B:$N,13,0)/12)*N$12,0),)</f>
        <v>13137.6</v>
      </c>
      <c r="O22" s="230">
        <f t="shared" ca="1" si="0"/>
        <v>93605.400000000009</v>
      </c>
      <c r="P22" s="31"/>
      <c r="Q22" s="31"/>
      <c r="R22" s="31"/>
      <c r="S22" s="31"/>
      <c r="T22" s="31"/>
      <c r="U22" s="31"/>
      <c r="V22" s="31"/>
      <c r="W22" s="31"/>
      <c r="X22" s="31"/>
    </row>
    <row r="23" spans="1:24" x14ac:dyDescent="0.2">
      <c r="A23" s="31"/>
      <c r="B23" s="231" t="str">
        <f ca="1">IFERROR(__xludf.DUMMYFUNCTION("""COMPUTED_VALUE"""),"Medewerker 21")</f>
        <v>Medewerker 21</v>
      </c>
      <c r="C23" s="74">
        <f ca="1">IF($B23&gt;0, IF(VLOOKUP($B23,'1. Invulsheet medewerkers'!$B:$N,2,0)&lt;=C$10,(VLOOKUP($B23,'1. Invulsheet medewerkers'!$B:$N,13,0)/12)*C$12,0),)</f>
        <v>0</v>
      </c>
      <c r="D23" s="74">
        <f ca="1">IF($B23&gt;0, IF(VLOOKUP($B23,'1. Invulsheet medewerkers'!$B:$N,2,0)&lt;=D$10,(VLOOKUP($B23,'1. Invulsheet medewerkers'!$B:$N,13,0)/12)*D$12,0),)</f>
        <v>0</v>
      </c>
      <c r="E23" s="74">
        <f ca="1">IF($B23&gt;0, IF(VLOOKUP($B23,'1. Invulsheet medewerkers'!$B:$N,2,0)&lt;=E$10,(VLOOKUP($B23,'1. Invulsheet medewerkers'!$B:$N,13,0)/12)*E$12,0),)</f>
        <v>0</v>
      </c>
      <c r="F23" s="74">
        <f ca="1">IF($B23&gt;0, IF(VLOOKUP($B23,'1. Invulsheet medewerkers'!$B:$N,2,0)&lt;=F$10,(VLOOKUP($B23,'1. Invulsheet medewerkers'!$B:$N,13,0)/12)*F$12,0),)</f>
        <v>0</v>
      </c>
      <c r="G23" s="74">
        <f ca="1">IF($B23&gt;0, IF(VLOOKUP($B23,'1. Invulsheet medewerkers'!$B:$N,2,0)&lt;=G$10,(VLOOKUP($B23,'1. Invulsheet medewerkers'!$B:$N,13,0)/12)*G$12,0),)</f>
        <v>0</v>
      </c>
      <c r="H23" s="74">
        <f ca="1">IF($B23&gt;0, IF(VLOOKUP($B23,'1. Invulsheet medewerkers'!$B:$N,2,0)&lt;=H$10,(VLOOKUP($B23,'1. Invulsheet medewerkers'!$B:$N,13,0)/12)*H$12,0),)</f>
        <v>0</v>
      </c>
      <c r="I23" s="74">
        <f ca="1">IF($B23&gt;0, IF(VLOOKUP($B23,'1. Invulsheet medewerkers'!$B:$N,2,0)&lt;=I$10,(VLOOKUP($B23,'1. Invulsheet medewerkers'!$B:$N,13,0)/12)*I$12,0),)</f>
        <v>0</v>
      </c>
      <c r="J23" s="74">
        <f ca="1">IF($B23&gt;0, IF(VLOOKUP($B23,'1. Invulsheet medewerkers'!$B:$N,2,0)&lt;=J$10,(VLOOKUP($B23,'1. Invulsheet medewerkers'!$B:$N,13,0)/12)*J$12,0),)</f>
        <v>0</v>
      </c>
      <c r="K23" s="74">
        <f ca="1">IF($B23&gt;0, IF(VLOOKUP($B23,'1. Invulsheet medewerkers'!$B:$N,2,0)&lt;=K$10,(VLOOKUP($B23,'1. Invulsheet medewerkers'!$B:$N,13,0)/12)*K$12,0),)</f>
        <v>0</v>
      </c>
      <c r="L23" s="74">
        <f ca="1">IF($B23&gt;0, IF(VLOOKUP($B23,'1. Invulsheet medewerkers'!$B:$N,2,0)&lt;=L$10,(VLOOKUP($B23,'1. Invulsheet medewerkers'!$B:$N,13,0)/12)*L$12,0),)</f>
        <v>0</v>
      </c>
      <c r="M23" s="74">
        <f ca="1">IF($B23&gt;0, IF(VLOOKUP($B23,'1. Invulsheet medewerkers'!$B:$N,2,0)&lt;=M$10,(VLOOKUP($B23,'1. Invulsheet medewerkers'!$B:$N,13,0)/12)*M$12,0),)</f>
        <v>0</v>
      </c>
      <c r="N23" s="124">
        <f ca="1">IF($B23&gt;0, IF(VLOOKUP($B23,'1. Invulsheet medewerkers'!$B:$N,2,0)&lt;=N$10,(VLOOKUP($B23,'1. Invulsheet medewerkers'!$B:$N,13,0)/12)*N$12,0),)</f>
        <v>0</v>
      </c>
      <c r="O23" s="230">
        <f t="shared" ca="1" si="0"/>
        <v>0</v>
      </c>
      <c r="P23" s="31"/>
      <c r="Q23" s="31"/>
      <c r="R23" s="31"/>
      <c r="S23" s="31"/>
      <c r="T23" s="31"/>
      <c r="U23" s="31"/>
      <c r="V23" s="31"/>
      <c r="W23" s="31"/>
      <c r="X23" s="31"/>
    </row>
    <row r="24" spans="1:24" x14ac:dyDescent="0.2">
      <c r="A24" s="31"/>
      <c r="B24" s="228" t="str">
        <f ca="1">IFERROR(__xludf.DUMMYFUNCTION("""COMPUTED_VALUE"""),"Medewerker 22")</f>
        <v>Medewerker 22</v>
      </c>
      <c r="C24" s="63">
        <f ca="1">IF($B24&gt;0, IF(VLOOKUP($B24,'1. Invulsheet medewerkers'!$B:$N,2,0)&lt;=C$10,(VLOOKUP($B24,'1. Invulsheet medewerkers'!$B:$N,13,0)/12)*C$12,0),)</f>
        <v>0</v>
      </c>
      <c r="D24" s="63">
        <f ca="1">IF($B24&gt;0, IF(VLOOKUP($B24,'1. Invulsheet medewerkers'!$B:$N,2,0)&lt;=D$10,(VLOOKUP($B24,'1. Invulsheet medewerkers'!$B:$N,13,0)/12)*D$12,0),)</f>
        <v>0</v>
      </c>
      <c r="E24" s="63">
        <f ca="1">IF($B24&gt;0, IF(VLOOKUP($B24,'1. Invulsheet medewerkers'!$B:$N,2,0)&lt;=E$10,(VLOOKUP($B24,'1. Invulsheet medewerkers'!$B:$N,13,0)/12)*E$12,0),)</f>
        <v>0</v>
      </c>
      <c r="F24" s="63">
        <f ca="1">IF($B24&gt;0, IF(VLOOKUP($B24,'1. Invulsheet medewerkers'!$B:$N,2,0)&lt;=F$10,(VLOOKUP($B24,'1. Invulsheet medewerkers'!$B:$N,13,0)/12)*F$12,0),)</f>
        <v>0</v>
      </c>
      <c r="G24" s="63">
        <f ca="1">IF($B24&gt;0, IF(VLOOKUP($B24,'1. Invulsheet medewerkers'!$B:$N,2,0)&lt;=G$10,(VLOOKUP($B24,'1. Invulsheet medewerkers'!$B:$N,13,0)/12)*G$12,0),)</f>
        <v>0</v>
      </c>
      <c r="H24" s="63">
        <f ca="1">IF($B24&gt;0, IF(VLOOKUP($B24,'1. Invulsheet medewerkers'!$B:$N,2,0)&lt;=H$10,(VLOOKUP($B24,'1. Invulsheet medewerkers'!$B:$N,13,0)/12)*H$12,0),)</f>
        <v>0</v>
      </c>
      <c r="I24" s="63">
        <f ca="1">IF($B24&gt;0, IF(VLOOKUP($B24,'1. Invulsheet medewerkers'!$B:$N,2,0)&lt;=I$10,(VLOOKUP($B24,'1. Invulsheet medewerkers'!$B:$N,13,0)/12)*I$12,0),)</f>
        <v>0</v>
      </c>
      <c r="J24" s="63">
        <f ca="1">IF($B24&gt;0, IF(VLOOKUP($B24,'1. Invulsheet medewerkers'!$B:$N,2,0)&lt;=J$10,(VLOOKUP($B24,'1. Invulsheet medewerkers'!$B:$N,13,0)/12)*J$12,0),)</f>
        <v>0</v>
      </c>
      <c r="K24" s="63">
        <f ca="1">IF($B24&gt;0, IF(VLOOKUP($B24,'1. Invulsheet medewerkers'!$B:$N,2,0)&lt;=K$10,(VLOOKUP($B24,'1. Invulsheet medewerkers'!$B:$N,13,0)/12)*K$12,0),)</f>
        <v>0</v>
      </c>
      <c r="L24" s="63">
        <f ca="1">IF($B24&gt;0, IF(VLOOKUP($B24,'1. Invulsheet medewerkers'!$B:$N,2,0)&lt;=L$10,(VLOOKUP($B24,'1. Invulsheet medewerkers'!$B:$N,13,0)/12)*L$12,0),)</f>
        <v>0</v>
      </c>
      <c r="M24" s="63">
        <f ca="1">IF($B24&gt;0, IF(VLOOKUP($B24,'1. Invulsheet medewerkers'!$B:$N,2,0)&lt;=M$10,(VLOOKUP($B24,'1. Invulsheet medewerkers'!$B:$N,13,0)/12)*M$12,0),)</f>
        <v>0</v>
      </c>
      <c r="N24" s="229">
        <f ca="1">IF($B24&gt;0, IF(VLOOKUP($B24,'1. Invulsheet medewerkers'!$B:$N,2,0)&lt;=N$10,(VLOOKUP($B24,'1. Invulsheet medewerkers'!$B:$N,13,0)/12)*N$12,0),)</f>
        <v>0</v>
      </c>
      <c r="O24" s="230">
        <f t="shared" ca="1" si="0"/>
        <v>0</v>
      </c>
      <c r="P24" s="31"/>
      <c r="Q24" s="31"/>
      <c r="R24" s="31"/>
      <c r="S24" s="31"/>
      <c r="T24" s="31"/>
      <c r="U24" s="31"/>
      <c r="V24" s="31"/>
      <c r="W24" s="31"/>
      <c r="X24" s="31"/>
    </row>
    <row r="25" spans="1:24" x14ac:dyDescent="0.2">
      <c r="A25" s="31"/>
      <c r="B25" s="232" t="str">
        <f ca="1">IFERROR(__xludf.DUMMYFUNCTION("""COMPUTED_VALUE"""),"Vacature 5")</f>
        <v>Vacature 5</v>
      </c>
      <c r="C25" s="233">
        <f ca="1">IF($B25&gt;0, IF(VLOOKUP($B25,'1. Invulsheet medewerkers'!$B:$N,2,0)&lt;=C$10,(VLOOKUP($B25,'1. Invulsheet medewerkers'!$B:$N,13,0)/12)*C$12,0),)</f>
        <v>0</v>
      </c>
      <c r="D25" s="233">
        <f ca="1">IF($B25&gt;0, IF(VLOOKUP($B25,'1. Invulsheet medewerkers'!$B:$N,2,0)&lt;=D$10,(VLOOKUP($B25,'1. Invulsheet medewerkers'!$B:$N,13,0)/12)*D$12,0),)</f>
        <v>0</v>
      </c>
      <c r="E25" s="233">
        <f ca="1">IF($B25&gt;0, IF(VLOOKUP($B25,'1. Invulsheet medewerkers'!$B:$N,2,0)&lt;=E$10,(VLOOKUP($B25,'1. Invulsheet medewerkers'!$B:$N,13,0)/12)*E$12,0),)</f>
        <v>0</v>
      </c>
      <c r="F25" s="233">
        <f ca="1">IF($B25&gt;0, IF(VLOOKUP($B25,'1. Invulsheet medewerkers'!$B:$N,2,0)&lt;=F$10,(VLOOKUP($B25,'1. Invulsheet medewerkers'!$B:$N,13,0)/12)*F$12,0),)</f>
        <v>0</v>
      </c>
      <c r="G25" s="233">
        <f ca="1">IF($B25&gt;0, IF(VLOOKUP($B25,'1. Invulsheet medewerkers'!$B:$N,2,0)&lt;=G$10,(VLOOKUP($B25,'1. Invulsheet medewerkers'!$B:$N,13,0)/12)*G$12,0),)</f>
        <v>0</v>
      </c>
      <c r="H25" s="233">
        <f ca="1">IF($B25&gt;0, IF(VLOOKUP($B25,'1. Invulsheet medewerkers'!$B:$N,2,0)&lt;=H$10,(VLOOKUP($B25,'1. Invulsheet medewerkers'!$B:$N,13,0)/12)*H$12,0),)</f>
        <v>0</v>
      </c>
      <c r="I25" s="233">
        <f ca="1">IF($B25&gt;0, IF(VLOOKUP($B25,'1. Invulsheet medewerkers'!$B:$N,2,0)&lt;=I$10,(VLOOKUP($B25,'1. Invulsheet medewerkers'!$B:$N,13,0)/12)*I$12,0),)</f>
        <v>0</v>
      </c>
      <c r="J25" s="233">
        <f ca="1">IF($B25&gt;0, IF(VLOOKUP($B25,'1. Invulsheet medewerkers'!$B:$N,2,0)&lt;=J$10,(VLOOKUP($B25,'1. Invulsheet medewerkers'!$B:$N,13,0)/12)*J$12,0),)</f>
        <v>0</v>
      </c>
      <c r="K25" s="233">
        <f ca="1">IF($B25&gt;0, IF(VLOOKUP($B25,'1. Invulsheet medewerkers'!$B:$N,2,0)&lt;=K$10,(VLOOKUP($B25,'1. Invulsheet medewerkers'!$B:$N,13,0)/12)*K$12,0),)</f>
        <v>0</v>
      </c>
      <c r="L25" s="233">
        <f ca="1">IF($B25&gt;0, IF(VLOOKUP($B25,'1. Invulsheet medewerkers'!$B:$N,2,0)&lt;=L$10,(VLOOKUP($B25,'1. Invulsheet medewerkers'!$B:$N,13,0)/12)*L$12,0),)</f>
        <v>0</v>
      </c>
      <c r="M25" s="233">
        <f ca="1">IF($B25&gt;0, IF(VLOOKUP($B25,'1. Invulsheet medewerkers'!$B:$N,2,0)&lt;=M$10,(VLOOKUP($B25,'1. Invulsheet medewerkers'!$B:$N,13,0)/12)*M$12,0),)</f>
        <v>0</v>
      </c>
      <c r="N25" s="234">
        <f ca="1">IF($B25&gt;0, IF(VLOOKUP($B25,'1. Invulsheet medewerkers'!$B:$N,2,0)&lt;=N$10,(VLOOKUP($B25,'1. Invulsheet medewerkers'!$B:$N,13,0)/12)*N$12,0),)</f>
        <v>0</v>
      </c>
      <c r="O25" s="235">
        <f t="shared" ca="1" si="0"/>
        <v>0</v>
      </c>
      <c r="P25" s="31"/>
      <c r="Q25" s="31"/>
      <c r="R25" s="31"/>
      <c r="S25" s="31"/>
      <c r="T25" s="31"/>
      <c r="U25" s="31"/>
      <c r="V25" s="31"/>
      <c r="W25" s="31"/>
      <c r="X25" s="31"/>
    </row>
    <row r="26" spans="1:24" x14ac:dyDescent="0.2">
      <c r="A26" s="236"/>
      <c r="B26" s="178"/>
      <c r="C26" s="179">
        <f>IF($B26&gt;0, IF(VLOOKUP($B26,'1. Invulsheet medewerkers'!$B:$N,2,0)&lt;=C$8,(VLOOKUP($B26,'1. Invulsheet medewerkers'!$B:$N,13,0)/12)*C$10,0),)</f>
        <v>0</v>
      </c>
      <c r="D26" s="179">
        <f>IF($B26&gt;0, IF(VLOOKUP($B26,'1. Invulsheet medewerkers'!$B:$N,2,0)&lt;=D$8,(VLOOKUP($B26,'1. Invulsheet medewerkers'!$B:$N,13,0)/12)*D$10,0),)</f>
        <v>0</v>
      </c>
      <c r="E26" s="179">
        <f>IF($B26&gt;0, IF(VLOOKUP($B26,'1. Invulsheet medewerkers'!$B:$N,2,0)&lt;=E$8,(VLOOKUP($B26,'1. Invulsheet medewerkers'!$B:$N,13,0)/12)*E$10,0),)</f>
        <v>0</v>
      </c>
      <c r="F26" s="179">
        <f>IF($B26&gt;0, IF(VLOOKUP($B26,'1. Invulsheet medewerkers'!$B:$N,2,0)&lt;=F$8,(VLOOKUP($B26,'1. Invulsheet medewerkers'!$B:$N,13,0)/12)*F$10,0),)</f>
        <v>0</v>
      </c>
      <c r="G26" s="179">
        <f>IF($B26&gt;0, IF(VLOOKUP($B26,'1. Invulsheet medewerkers'!$B:$N,2,0)&lt;=G$8,(VLOOKUP($B26,'1. Invulsheet medewerkers'!$B:$N,13,0)/12)*G$10,0),)</f>
        <v>0</v>
      </c>
      <c r="H26" s="179">
        <f>IF($B26&gt;0, IF(VLOOKUP($B26,'1. Invulsheet medewerkers'!$B:$N,2,0)&lt;=H$8,(VLOOKUP($B26,'1. Invulsheet medewerkers'!$B:$N,13,0)/12)*H$10,0),)</f>
        <v>0</v>
      </c>
      <c r="I26" s="179">
        <f>IF($B26&gt;0, IF(VLOOKUP($B26,'1. Invulsheet medewerkers'!$B:$N,2,0)&lt;=I$8,(VLOOKUP($B26,'1. Invulsheet medewerkers'!$B:$N,13,0)/12)*I$10,0),)</f>
        <v>0</v>
      </c>
      <c r="J26" s="179">
        <f>IF($B26&gt;0, IF(VLOOKUP($B26,'1. Invulsheet medewerkers'!$B:$N,2,0)&lt;=J$8,(VLOOKUP($B26,'1. Invulsheet medewerkers'!$B:$N,13,0)/12)*J$10,0),)</f>
        <v>0</v>
      </c>
      <c r="K26" s="179">
        <f>IF($B26&gt;0, IF(VLOOKUP($B26,'1. Invulsheet medewerkers'!$B:$N,2,0)&lt;=K$8,(VLOOKUP($B26,'1. Invulsheet medewerkers'!$B:$N,13,0)/12)*K$10,0),)</f>
        <v>0</v>
      </c>
      <c r="L26" s="179">
        <f>IF($B26&gt;0, IF(VLOOKUP($B26,'1. Invulsheet medewerkers'!$B:$N,2,0)&lt;=L$8,(VLOOKUP($B26,'1. Invulsheet medewerkers'!$B:$N,13,0)/12)*L$10,0),)</f>
        <v>0</v>
      </c>
      <c r="M26" s="179">
        <f>IF($B26&gt;0, IF(VLOOKUP($B26,'1. Invulsheet medewerkers'!$B:$N,2,0)&lt;=M$8,(VLOOKUP($B26,'1. Invulsheet medewerkers'!$B:$N,13,0)/12)*M$10,0),)</f>
        <v>0</v>
      </c>
      <c r="N26" s="180">
        <f>IF($B26&gt;0, IF(VLOOKUP($B26,'1. Invulsheet medewerkers'!$B:$N,2,0)&lt;=N$8,(VLOOKUP($B26,'1. Invulsheet medewerkers'!$B:$N,13,0)/12)*N$10,0),)</f>
        <v>0</v>
      </c>
      <c r="O26" s="237"/>
      <c r="P26" s="236"/>
      <c r="Q26" s="236"/>
      <c r="R26" s="236"/>
      <c r="S26" s="236"/>
      <c r="T26" s="236"/>
      <c r="U26" s="236"/>
      <c r="V26" s="236"/>
      <c r="W26" s="236"/>
      <c r="X26" s="236"/>
    </row>
    <row r="27" spans="1:24" x14ac:dyDescent="0.2">
      <c r="A27" s="236"/>
      <c r="B27" s="181"/>
      <c r="C27" s="182">
        <f>IF($B27&gt;0, IF(VLOOKUP($B27,'1. Invulsheet medewerkers'!$B:$N,2,0)&lt;=C$8,(VLOOKUP($B27,'1. Invulsheet medewerkers'!$B:$N,13,0)/12)*C$10,0),)</f>
        <v>0</v>
      </c>
      <c r="D27" s="182">
        <f>IF($B27&gt;0, IF(VLOOKUP($B27,'1. Invulsheet medewerkers'!$B:$N,2,0)&lt;=D$8,(VLOOKUP($B27,'1. Invulsheet medewerkers'!$B:$N,13,0)/12)*D$10,0),)</f>
        <v>0</v>
      </c>
      <c r="E27" s="182">
        <f>IF($B27&gt;0, IF(VLOOKUP($B27,'1. Invulsheet medewerkers'!$B:$N,2,0)&lt;=E$8,(VLOOKUP($B27,'1. Invulsheet medewerkers'!$B:$N,13,0)/12)*E$10,0),)</f>
        <v>0</v>
      </c>
      <c r="F27" s="182">
        <f>IF($B27&gt;0, IF(VLOOKUP($B27,'1. Invulsheet medewerkers'!$B:$N,2,0)&lt;=F$8,(VLOOKUP($B27,'1. Invulsheet medewerkers'!$B:$N,13,0)/12)*F$10,0),)</f>
        <v>0</v>
      </c>
      <c r="G27" s="182">
        <f>IF($B27&gt;0, IF(VLOOKUP($B27,'1. Invulsheet medewerkers'!$B:$N,2,0)&lt;=G$8,(VLOOKUP($B27,'1. Invulsheet medewerkers'!$B:$N,13,0)/12)*G$10,0),)</f>
        <v>0</v>
      </c>
      <c r="H27" s="182">
        <f>IF($B27&gt;0, IF(VLOOKUP($B27,'1. Invulsheet medewerkers'!$B:$N,2,0)&lt;=H$8,(VLOOKUP($B27,'1. Invulsheet medewerkers'!$B:$N,13,0)/12)*H$10,0),)</f>
        <v>0</v>
      </c>
      <c r="I27" s="182">
        <f>IF($B27&gt;0, IF(VLOOKUP($B27,'1. Invulsheet medewerkers'!$B:$N,2,0)&lt;=I$8,(VLOOKUP($B27,'1. Invulsheet medewerkers'!$B:$N,13,0)/12)*I$10,0),)</f>
        <v>0</v>
      </c>
      <c r="J27" s="182">
        <f>IF($B27&gt;0, IF(VLOOKUP($B27,'1. Invulsheet medewerkers'!$B:$N,2,0)&lt;=J$8,(VLOOKUP($B27,'1. Invulsheet medewerkers'!$B:$N,13,0)/12)*J$10,0),)</f>
        <v>0</v>
      </c>
      <c r="K27" s="182">
        <f>IF($B27&gt;0, IF(VLOOKUP($B27,'1. Invulsheet medewerkers'!$B:$N,2,0)&lt;=K$8,(VLOOKUP($B27,'1. Invulsheet medewerkers'!$B:$N,13,0)/12)*K$10,0),)</f>
        <v>0</v>
      </c>
      <c r="L27" s="182">
        <f>IF($B27&gt;0, IF(VLOOKUP($B27,'1. Invulsheet medewerkers'!$B:$N,2,0)&lt;=L$8,(VLOOKUP($B27,'1. Invulsheet medewerkers'!$B:$N,13,0)/12)*L$10,0),)</f>
        <v>0</v>
      </c>
      <c r="M27" s="182">
        <f>IF($B27&gt;0, IF(VLOOKUP($B27,'1. Invulsheet medewerkers'!$B:$N,2,0)&lt;=M$8,(VLOOKUP($B27,'1. Invulsheet medewerkers'!$B:$N,13,0)/12)*M$10,0),)</f>
        <v>0</v>
      </c>
      <c r="N27" s="182">
        <f>IF($B27&gt;0, IF(VLOOKUP($B27,'1. Invulsheet medewerkers'!$B:$N,2,0)&lt;=N$8,(VLOOKUP($B27,'1. Invulsheet medewerkers'!$B:$N,13,0)/12)*N$10,0),)</f>
        <v>0</v>
      </c>
      <c r="O27" s="237"/>
      <c r="P27" s="236"/>
      <c r="Q27" s="236"/>
      <c r="R27" s="236"/>
      <c r="S27" s="236"/>
      <c r="T27" s="236"/>
      <c r="U27" s="236"/>
      <c r="V27" s="236"/>
      <c r="W27" s="236"/>
      <c r="X27" s="236"/>
    </row>
    <row r="28" spans="1:24" x14ac:dyDescent="0.2">
      <c r="A28" s="236"/>
      <c r="B28" s="178"/>
      <c r="C28" s="179">
        <f>IF($B28&gt;0, IF(VLOOKUP($B28,'1. Invulsheet medewerkers'!$B:$N,2,0)&lt;=C$8,(VLOOKUP($B28,'1. Invulsheet medewerkers'!$B:$N,13,0)/12)*C$10,0),)</f>
        <v>0</v>
      </c>
      <c r="D28" s="179">
        <f>IF($B28&gt;0, IF(VLOOKUP($B28,'1. Invulsheet medewerkers'!$B:$N,2,0)&lt;=D$8,(VLOOKUP($B28,'1. Invulsheet medewerkers'!$B:$N,13,0)/12)*D$10,0),)</f>
        <v>0</v>
      </c>
      <c r="E28" s="179">
        <f>IF($B28&gt;0, IF(VLOOKUP($B28,'1. Invulsheet medewerkers'!$B:$N,2,0)&lt;=E$8,(VLOOKUP($B28,'1. Invulsheet medewerkers'!$B:$N,13,0)/12)*E$10,0),)</f>
        <v>0</v>
      </c>
      <c r="F28" s="179">
        <f>IF($B28&gt;0, IF(VLOOKUP($B28,'1. Invulsheet medewerkers'!$B:$N,2,0)&lt;=F$8,(VLOOKUP($B28,'1. Invulsheet medewerkers'!$B:$N,13,0)/12)*F$10,0),)</f>
        <v>0</v>
      </c>
      <c r="G28" s="179">
        <f>IF($B28&gt;0, IF(VLOOKUP($B28,'1. Invulsheet medewerkers'!$B:$N,2,0)&lt;=G$8,(VLOOKUP($B28,'1. Invulsheet medewerkers'!$B:$N,13,0)/12)*G$10,0),)</f>
        <v>0</v>
      </c>
      <c r="H28" s="179">
        <f>IF($B28&gt;0, IF(VLOOKUP($B28,'1. Invulsheet medewerkers'!$B:$N,2,0)&lt;=H$8,(VLOOKUP($B28,'1. Invulsheet medewerkers'!$B:$N,13,0)/12)*H$10,0),)</f>
        <v>0</v>
      </c>
      <c r="I28" s="179">
        <f>IF($B28&gt;0, IF(VLOOKUP($B28,'1. Invulsheet medewerkers'!$B:$N,2,0)&lt;=I$8,(VLOOKUP($B28,'1. Invulsheet medewerkers'!$B:$N,13,0)/12)*I$10,0),)</f>
        <v>0</v>
      </c>
      <c r="J28" s="179">
        <f>IF($B28&gt;0, IF(VLOOKUP($B28,'1. Invulsheet medewerkers'!$B:$N,2,0)&lt;=J$8,(VLOOKUP($B28,'1. Invulsheet medewerkers'!$B:$N,13,0)/12)*J$10,0),)</f>
        <v>0</v>
      </c>
      <c r="K28" s="179">
        <f>IF($B28&gt;0, IF(VLOOKUP($B28,'1. Invulsheet medewerkers'!$B:$N,2,0)&lt;=K$8,(VLOOKUP($B28,'1. Invulsheet medewerkers'!$B:$N,13,0)/12)*K$10,0),)</f>
        <v>0</v>
      </c>
      <c r="L28" s="179">
        <f>IF($B28&gt;0, IF(VLOOKUP($B28,'1. Invulsheet medewerkers'!$B:$N,2,0)&lt;=L$8,(VLOOKUP($B28,'1. Invulsheet medewerkers'!$B:$N,13,0)/12)*L$10,0),)</f>
        <v>0</v>
      </c>
      <c r="M28" s="179">
        <f>IF($B28&gt;0, IF(VLOOKUP($B28,'1. Invulsheet medewerkers'!$B:$N,2,0)&lt;=M$8,(VLOOKUP($B28,'1. Invulsheet medewerkers'!$B:$N,13,0)/12)*M$10,0),)</f>
        <v>0</v>
      </c>
      <c r="N28" s="180">
        <f>IF($B28&gt;0, IF(VLOOKUP($B28,'1. Invulsheet medewerkers'!$B:$N,2,0)&lt;=N$8,(VLOOKUP($B28,'1. Invulsheet medewerkers'!$B:$N,13,0)/12)*N$10,0),)</f>
        <v>0</v>
      </c>
      <c r="O28" s="237"/>
      <c r="P28" s="236"/>
      <c r="Q28" s="236"/>
      <c r="R28" s="236"/>
      <c r="S28" s="236"/>
      <c r="T28" s="236"/>
      <c r="U28" s="236"/>
      <c r="V28" s="236"/>
      <c r="W28" s="236"/>
      <c r="X28" s="236"/>
    </row>
    <row r="29" spans="1:24" x14ac:dyDescent="0.2">
      <c r="A29" s="236"/>
      <c r="B29" s="181"/>
      <c r="C29" s="182">
        <f>IF($B29&gt;0, IF(VLOOKUP($B29,'1. Invulsheet medewerkers'!$B:$N,2,0)&lt;=C$8,(VLOOKUP($B29,'1. Invulsheet medewerkers'!$B:$N,13,0)/12)*C$10,0),)</f>
        <v>0</v>
      </c>
      <c r="D29" s="182">
        <f>IF($B29&gt;0, IF(VLOOKUP($B29,'1. Invulsheet medewerkers'!$B:$N,2,0)&lt;=D$8,(VLOOKUP($B29,'1. Invulsheet medewerkers'!$B:$N,13,0)/12)*D$10,0),)</f>
        <v>0</v>
      </c>
      <c r="E29" s="182">
        <f>IF($B29&gt;0, IF(VLOOKUP($B29,'1. Invulsheet medewerkers'!$B:$N,2,0)&lt;=E$8,(VLOOKUP($B29,'1. Invulsheet medewerkers'!$B:$N,13,0)/12)*E$10,0),)</f>
        <v>0</v>
      </c>
      <c r="F29" s="182">
        <f>IF($B29&gt;0, IF(VLOOKUP($B29,'1. Invulsheet medewerkers'!$B:$N,2,0)&lt;=F$8,(VLOOKUP($B29,'1. Invulsheet medewerkers'!$B:$N,13,0)/12)*F$10,0),)</f>
        <v>0</v>
      </c>
      <c r="G29" s="182">
        <f>IF($B29&gt;0, IF(VLOOKUP($B29,'1. Invulsheet medewerkers'!$B:$N,2,0)&lt;=G$8,(VLOOKUP($B29,'1. Invulsheet medewerkers'!$B:$N,13,0)/12)*G$10,0),)</f>
        <v>0</v>
      </c>
      <c r="H29" s="182">
        <f>IF($B29&gt;0, IF(VLOOKUP($B29,'1. Invulsheet medewerkers'!$B:$N,2,0)&lt;=H$8,(VLOOKUP($B29,'1. Invulsheet medewerkers'!$B:$N,13,0)/12)*H$10,0),)</f>
        <v>0</v>
      </c>
      <c r="I29" s="182">
        <f>IF($B29&gt;0, IF(VLOOKUP($B29,'1. Invulsheet medewerkers'!$B:$N,2,0)&lt;=I$8,(VLOOKUP($B29,'1. Invulsheet medewerkers'!$B:$N,13,0)/12)*I$10,0),)</f>
        <v>0</v>
      </c>
      <c r="J29" s="182">
        <f>IF($B29&gt;0, IF(VLOOKUP($B29,'1. Invulsheet medewerkers'!$B:$N,2,0)&lt;=J$8,(VLOOKUP($B29,'1. Invulsheet medewerkers'!$B:$N,13,0)/12)*J$10,0),)</f>
        <v>0</v>
      </c>
      <c r="K29" s="182">
        <f>IF($B29&gt;0, IF(VLOOKUP($B29,'1. Invulsheet medewerkers'!$B:$N,2,0)&lt;=K$8,(VLOOKUP($B29,'1. Invulsheet medewerkers'!$B:$N,13,0)/12)*K$10,0),)</f>
        <v>0</v>
      </c>
      <c r="L29" s="182">
        <f>IF($B29&gt;0, IF(VLOOKUP($B29,'1. Invulsheet medewerkers'!$B:$N,2,0)&lt;=L$8,(VLOOKUP($B29,'1. Invulsheet medewerkers'!$B:$N,13,0)/12)*L$10,0),)</f>
        <v>0</v>
      </c>
      <c r="M29" s="182">
        <f>IF($B29&gt;0, IF(VLOOKUP($B29,'1. Invulsheet medewerkers'!$B:$N,2,0)&lt;=M$8,(VLOOKUP($B29,'1. Invulsheet medewerkers'!$B:$N,13,0)/12)*M$10,0),)</f>
        <v>0</v>
      </c>
      <c r="N29" s="182">
        <f>IF($B29&gt;0, IF(VLOOKUP($B29,'1. Invulsheet medewerkers'!$B:$N,2,0)&lt;=N$8,(VLOOKUP($B29,'1. Invulsheet medewerkers'!$B:$N,13,0)/12)*N$10,0),)</f>
        <v>0</v>
      </c>
      <c r="O29" s="237"/>
      <c r="P29" s="236"/>
      <c r="Q29" s="236"/>
      <c r="R29" s="236"/>
      <c r="S29" s="236"/>
      <c r="T29" s="236"/>
      <c r="U29" s="236"/>
      <c r="V29" s="236"/>
      <c r="W29" s="236"/>
      <c r="X29" s="236"/>
    </row>
    <row r="30" spans="1:24" x14ac:dyDescent="0.2">
      <c r="A30" s="236"/>
      <c r="B30" s="178"/>
      <c r="C30" s="179">
        <f>IF($B30&gt;0, IF(VLOOKUP($B30,'1. Invulsheet medewerkers'!$B:$N,2,0)&lt;=C$8,(VLOOKUP($B30,'1. Invulsheet medewerkers'!$B:$N,13,0)/12)*C$10,0),)</f>
        <v>0</v>
      </c>
      <c r="D30" s="179">
        <f>IF($B30&gt;0, IF(VLOOKUP($B30,'1. Invulsheet medewerkers'!$B:$N,2,0)&lt;=D$8,(VLOOKUP($B30,'1. Invulsheet medewerkers'!$B:$N,13,0)/12)*D$10,0),)</f>
        <v>0</v>
      </c>
      <c r="E30" s="179">
        <f>IF($B30&gt;0, IF(VLOOKUP($B30,'1. Invulsheet medewerkers'!$B:$N,2,0)&lt;=E$8,(VLOOKUP($B30,'1. Invulsheet medewerkers'!$B:$N,13,0)/12)*E$10,0),)</f>
        <v>0</v>
      </c>
      <c r="F30" s="179">
        <f>IF($B30&gt;0, IF(VLOOKUP($B30,'1. Invulsheet medewerkers'!$B:$N,2,0)&lt;=F$8,(VLOOKUP($B30,'1. Invulsheet medewerkers'!$B:$N,13,0)/12)*F$10,0),)</f>
        <v>0</v>
      </c>
      <c r="G30" s="179">
        <f>IF($B30&gt;0, IF(VLOOKUP($B30,'1. Invulsheet medewerkers'!$B:$N,2,0)&lt;=G$8,(VLOOKUP($B30,'1. Invulsheet medewerkers'!$B:$N,13,0)/12)*G$10,0),)</f>
        <v>0</v>
      </c>
      <c r="H30" s="179">
        <f>IF($B30&gt;0, IF(VLOOKUP($B30,'1. Invulsheet medewerkers'!$B:$N,2,0)&lt;=H$8,(VLOOKUP($B30,'1. Invulsheet medewerkers'!$B:$N,13,0)/12)*H$10,0),)</f>
        <v>0</v>
      </c>
      <c r="I30" s="179">
        <f>IF($B30&gt;0, IF(VLOOKUP($B30,'1. Invulsheet medewerkers'!$B:$N,2,0)&lt;=I$8,(VLOOKUP($B30,'1. Invulsheet medewerkers'!$B:$N,13,0)/12)*I$10,0),)</f>
        <v>0</v>
      </c>
      <c r="J30" s="179">
        <f>IF($B30&gt;0, IF(VLOOKUP($B30,'1. Invulsheet medewerkers'!$B:$N,2,0)&lt;=J$8,(VLOOKUP($B30,'1. Invulsheet medewerkers'!$B:$N,13,0)/12)*J$10,0),)</f>
        <v>0</v>
      </c>
      <c r="K30" s="179">
        <f>IF($B30&gt;0, IF(VLOOKUP($B30,'1. Invulsheet medewerkers'!$B:$N,2,0)&lt;=K$8,(VLOOKUP($B30,'1. Invulsheet medewerkers'!$B:$N,13,0)/12)*K$10,0),)</f>
        <v>0</v>
      </c>
      <c r="L30" s="179">
        <f>IF($B30&gt;0, IF(VLOOKUP($B30,'1. Invulsheet medewerkers'!$B:$N,2,0)&lt;=L$8,(VLOOKUP($B30,'1. Invulsheet medewerkers'!$B:$N,13,0)/12)*L$10,0),)</f>
        <v>0</v>
      </c>
      <c r="M30" s="179">
        <f>IF($B30&gt;0, IF(VLOOKUP($B30,'1. Invulsheet medewerkers'!$B:$N,2,0)&lt;=M$8,(VLOOKUP($B30,'1. Invulsheet medewerkers'!$B:$N,13,0)/12)*M$10,0),)</f>
        <v>0</v>
      </c>
      <c r="N30" s="180">
        <f>IF($B30&gt;0, IF(VLOOKUP($B30,'1. Invulsheet medewerkers'!$B:$N,2,0)&lt;=N$8,(VLOOKUP($B30,'1. Invulsheet medewerkers'!$B:$N,13,0)/12)*N$10,0),)</f>
        <v>0</v>
      </c>
      <c r="O30" s="237"/>
      <c r="P30" s="236"/>
      <c r="Q30" s="236"/>
      <c r="R30" s="236"/>
      <c r="S30" s="236"/>
      <c r="T30" s="236"/>
      <c r="U30" s="236"/>
      <c r="V30" s="236"/>
      <c r="W30" s="236"/>
      <c r="X30" s="236"/>
    </row>
    <row r="31" spans="1:24" x14ac:dyDescent="0.2">
      <c r="A31" s="236"/>
      <c r="B31" s="181"/>
      <c r="C31" s="182">
        <f>IF($B31&gt;0, IF(VLOOKUP($B31,'1. Invulsheet medewerkers'!$B:$N,2,0)&lt;=C$8,(VLOOKUP($B31,'1. Invulsheet medewerkers'!$B:$N,13,0)/12)*C$10,0),)</f>
        <v>0</v>
      </c>
      <c r="D31" s="182">
        <f>IF($B31&gt;0, IF(VLOOKUP($B31,'1. Invulsheet medewerkers'!$B:$N,2,0)&lt;=D$8,(VLOOKUP($B31,'1. Invulsheet medewerkers'!$B:$N,13,0)/12)*D$10,0),)</f>
        <v>0</v>
      </c>
      <c r="E31" s="182">
        <f>IF($B31&gt;0, IF(VLOOKUP($B31,'1. Invulsheet medewerkers'!$B:$N,2,0)&lt;=E$8,(VLOOKUP($B31,'1. Invulsheet medewerkers'!$B:$N,13,0)/12)*E$10,0),)</f>
        <v>0</v>
      </c>
      <c r="F31" s="182">
        <f>IF($B31&gt;0, IF(VLOOKUP($B31,'1. Invulsheet medewerkers'!$B:$N,2,0)&lt;=F$8,(VLOOKUP($B31,'1. Invulsheet medewerkers'!$B:$N,13,0)/12)*F$10,0),)</f>
        <v>0</v>
      </c>
      <c r="G31" s="182">
        <f>IF($B31&gt;0, IF(VLOOKUP($B31,'1. Invulsheet medewerkers'!$B:$N,2,0)&lt;=G$8,(VLOOKUP($B31,'1. Invulsheet medewerkers'!$B:$N,13,0)/12)*G$10,0),)</f>
        <v>0</v>
      </c>
      <c r="H31" s="182">
        <f>IF($B31&gt;0, IF(VLOOKUP($B31,'1. Invulsheet medewerkers'!$B:$N,2,0)&lt;=H$8,(VLOOKUP($B31,'1. Invulsheet medewerkers'!$B:$N,13,0)/12)*H$10,0),)</f>
        <v>0</v>
      </c>
      <c r="I31" s="182">
        <f>IF($B31&gt;0, IF(VLOOKUP($B31,'1. Invulsheet medewerkers'!$B:$N,2,0)&lt;=I$8,(VLOOKUP($B31,'1. Invulsheet medewerkers'!$B:$N,13,0)/12)*I$10,0),)</f>
        <v>0</v>
      </c>
      <c r="J31" s="182">
        <f>IF($B31&gt;0, IF(VLOOKUP($B31,'1. Invulsheet medewerkers'!$B:$N,2,0)&lt;=J$8,(VLOOKUP($B31,'1. Invulsheet medewerkers'!$B:$N,13,0)/12)*J$10,0),)</f>
        <v>0</v>
      </c>
      <c r="K31" s="182">
        <f>IF($B31&gt;0, IF(VLOOKUP($B31,'1. Invulsheet medewerkers'!$B:$N,2,0)&lt;=K$8,(VLOOKUP($B31,'1. Invulsheet medewerkers'!$B:$N,13,0)/12)*K$10,0),)</f>
        <v>0</v>
      </c>
      <c r="L31" s="182">
        <f>IF($B31&gt;0, IF(VLOOKUP($B31,'1. Invulsheet medewerkers'!$B:$N,2,0)&lt;=L$8,(VLOOKUP($B31,'1. Invulsheet medewerkers'!$B:$N,13,0)/12)*L$10,0),)</f>
        <v>0</v>
      </c>
      <c r="M31" s="182">
        <f>IF($B31&gt;0, IF(VLOOKUP($B31,'1. Invulsheet medewerkers'!$B:$N,2,0)&lt;=M$8,(VLOOKUP($B31,'1. Invulsheet medewerkers'!$B:$N,13,0)/12)*M$10,0),)</f>
        <v>0</v>
      </c>
      <c r="N31" s="182">
        <f>IF($B31&gt;0, IF(VLOOKUP($B31,'1. Invulsheet medewerkers'!$B:$N,2,0)&lt;=N$8,(VLOOKUP($B31,'1. Invulsheet medewerkers'!$B:$N,13,0)/12)*N$10,0),)</f>
        <v>0</v>
      </c>
      <c r="O31" s="237"/>
      <c r="P31" s="236"/>
      <c r="Q31" s="236"/>
      <c r="R31" s="236"/>
      <c r="S31" s="236"/>
      <c r="T31" s="236"/>
      <c r="U31" s="236"/>
      <c r="V31" s="236"/>
      <c r="W31" s="236"/>
      <c r="X31" s="236"/>
    </row>
    <row r="32" spans="1:24" x14ac:dyDescent="0.2">
      <c r="A32" s="236"/>
      <c r="B32" s="178"/>
      <c r="C32" s="179">
        <f>IF($B32&gt;0, IF(VLOOKUP($B32,'1. Invulsheet medewerkers'!$B:$N,2,0)&lt;=C$8,(VLOOKUP($B32,'1. Invulsheet medewerkers'!$B:$N,13,0)/12)*C$10,0),)</f>
        <v>0</v>
      </c>
      <c r="D32" s="179">
        <f>IF($B32&gt;0, IF(VLOOKUP($B32,'1. Invulsheet medewerkers'!$B:$N,2,0)&lt;=D$8,(VLOOKUP($B32,'1. Invulsheet medewerkers'!$B:$N,13,0)/12)*D$10,0),)</f>
        <v>0</v>
      </c>
      <c r="E32" s="179">
        <f>IF($B32&gt;0, IF(VLOOKUP($B32,'1. Invulsheet medewerkers'!$B:$N,2,0)&lt;=E$8,(VLOOKUP($B32,'1. Invulsheet medewerkers'!$B:$N,13,0)/12)*E$10,0),)</f>
        <v>0</v>
      </c>
      <c r="F32" s="179">
        <f>IF($B32&gt;0, IF(VLOOKUP($B32,'1. Invulsheet medewerkers'!$B:$N,2,0)&lt;=F$8,(VLOOKUP($B32,'1. Invulsheet medewerkers'!$B:$N,13,0)/12)*F$10,0),)</f>
        <v>0</v>
      </c>
      <c r="G32" s="179">
        <f>IF($B32&gt;0, IF(VLOOKUP($B32,'1. Invulsheet medewerkers'!$B:$N,2,0)&lt;=G$8,(VLOOKUP($B32,'1. Invulsheet medewerkers'!$B:$N,13,0)/12)*G$10,0),)</f>
        <v>0</v>
      </c>
      <c r="H32" s="179">
        <f>IF($B32&gt;0, IF(VLOOKUP($B32,'1. Invulsheet medewerkers'!$B:$N,2,0)&lt;=H$8,(VLOOKUP($B32,'1. Invulsheet medewerkers'!$B:$N,13,0)/12)*H$10,0),)</f>
        <v>0</v>
      </c>
      <c r="I32" s="179">
        <f>IF($B32&gt;0, IF(VLOOKUP($B32,'1. Invulsheet medewerkers'!$B:$N,2,0)&lt;=I$8,(VLOOKUP($B32,'1. Invulsheet medewerkers'!$B:$N,13,0)/12)*I$10,0),)</f>
        <v>0</v>
      </c>
      <c r="J32" s="179">
        <f>IF($B32&gt;0, IF(VLOOKUP($B32,'1. Invulsheet medewerkers'!$B:$N,2,0)&lt;=J$8,(VLOOKUP($B32,'1. Invulsheet medewerkers'!$B:$N,13,0)/12)*J$10,0),)</f>
        <v>0</v>
      </c>
      <c r="K32" s="179">
        <f>IF($B32&gt;0, IF(VLOOKUP($B32,'1. Invulsheet medewerkers'!$B:$N,2,0)&lt;=K$8,(VLOOKUP($B32,'1. Invulsheet medewerkers'!$B:$N,13,0)/12)*K$10,0),)</f>
        <v>0</v>
      </c>
      <c r="L32" s="179">
        <f>IF($B32&gt;0, IF(VLOOKUP($B32,'1. Invulsheet medewerkers'!$B:$N,2,0)&lt;=L$8,(VLOOKUP($B32,'1. Invulsheet medewerkers'!$B:$N,13,0)/12)*L$10,0),)</f>
        <v>0</v>
      </c>
      <c r="M32" s="179">
        <f>IF($B32&gt;0, IF(VLOOKUP($B32,'1. Invulsheet medewerkers'!$B:$N,2,0)&lt;=M$8,(VLOOKUP($B32,'1. Invulsheet medewerkers'!$B:$N,13,0)/12)*M$10,0),)</f>
        <v>0</v>
      </c>
      <c r="N32" s="180">
        <f>IF($B32&gt;0, IF(VLOOKUP($B32,'1. Invulsheet medewerkers'!$B:$N,2,0)&lt;=N$8,(VLOOKUP($B32,'1. Invulsheet medewerkers'!$B:$N,13,0)/12)*N$10,0),)</f>
        <v>0</v>
      </c>
      <c r="O32" s="237"/>
      <c r="P32" s="236"/>
      <c r="Q32" s="236"/>
      <c r="R32" s="236"/>
      <c r="S32" s="236"/>
      <c r="T32" s="236"/>
      <c r="U32" s="236"/>
      <c r="V32" s="236"/>
      <c r="W32" s="236"/>
      <c r="X32" s="236"/>
    </row>
    <row r="33" spans="1:24" x14ac:dyDescent="0.2">
      <c r="A33" s="236"/>
      <c r="B33" s="181"/>
      <c r="C33" s="182">
        <f>IF($B33&gt;0, IF(VLOOKUP($B33,'1. Invulsheet medewerkers'!$B:$N,2,0)&lt;=C$8,(VLOOKUP($B33,'1. Invulsheet medewerkers'!$B:$N,13,0)/12)*C$10,0),)</f>
        <v>0</v>
      </c>
      <c r="D33" s="182">
        <f>IF($B33&gt;0, IF(VLOOKUP($B33,'1. Invulsheet medewerkers'!$B:$N,2,0)&lt;=D$8,(VLOOKUP($B33,'1. Invulsheet medewerkers'!$B:$N,13,0)/12)*D$10,0),)</f>
        <v>0</v>
      </c>
      <c r="E33" s="182">
        <f>IF($B33&gt;0, IF(VLOOKUP($B33,'1. Invulsheet medewerkers'!$B:$N,2,0)&lt;=E$8,(VLOOKUP($B33,'1. Invulsheet medewerkers'!$B:$N,13,0)/12)*E$10,0),)</f>
        <v>0</v>
      </c>
      <c r="F33" s="182">
        <f>IF($B33&gt;0, IF(VLOOKUP($B33,'1. Invulsheet medewerkers'!$B:$N,2,0)&lt;=F$8,(VLOOKUP($B33,'1. Invulsheet medewerkers'!$B:$N,13,0)/12)*F$10,0),)</f>
        <v>0</v>
      </c>
      <c r="G33" s="182">
        <f>IF($B33&gt;0, IF(VLOOKUP($B33,'1. Invulsheet medewerkers'!$B:$N,2,0)&lt;=G$8,(VLOOKUP($B33,'1. Invulsheet medewerkers'!$B:$N,13,0)/12)*G$10,0),)</f>
        <v>0</v>
      </c>
      <c r="H33" s="182">
        <f>IF($B33&gt;0, IF(VLOOKUP($B33,'1. Invulsheet medewerkers'!$B:$N,2,0)&lt;=H$8,(VLOOKUP($B33,'1. Invulsheet medewerkers'!$B:$N,13,0)/12)*H$10,0),)</f>
        <v>0</v>
      </c>
      <c r="I33" s="182">
        <f>IF($B33&gt;0, IF(VLOOKUP($B33,'1. Invulsheet medewerkers'!$B:$N,2,0)&lt;=I$8,(VLOOKUP($B33,'1. Invulsheet medewerkers'!$B:$N,13,0)/12)*I$10,0),)</f>
        <v>0</v>
      </c>
      <c r="J33" s="182">
        <f>IF($B33&gt;0, IF(VLOOKUP($B33,'1. Invulsheet medewerkers'!$B:$N,2,0)&lt;=J$8,(VLOOKUP($B33,'1. Invulsheet medewerkers'!$B:$N,13,0)/12)*J$10,0),)</f>
        <v>0</v>
      </c>
      <c r="K33" s="182">
        <f>IF($B33&gt;0, IF(VLOOKUP($B33,'1. Invulsheet medewerkers'!$B:$N,2,0)&lt;=K$8,(VLOOKUP($B33,'1. Invulsheet medewerkers'!$B:$N,13,0)/12)*K$10,0),)</f>
        <v>0</v>
      </c>
      <c r="L33" s="182">
        <f>IF($B33&gt;0, IF(VLOOKUP($B33,'1. Invulsheet medewerkers'!$B:$N,2,0)&lt;=L$8,(VLOOKUP($B33,'1. Invulsheet medewerkers'!$B:$N,13,0)/12)*L$10,0),)</f>
        <v>0</v>
      </c>
      <c r="M33" s="182">
        <f>IF($B33&gt;0, IF(VLOOKUP($B33,'1. Invulsheet medewerkers'!$B:$N,2,0)&lt;=M$8,(VLOOKUP($B33,'1. Invulsheet medewerkers'!$B:$N,13,0)/12)*M$10,0),)</f>
        <v>0</v>
      </c>
      <c r="N33" s="182">
        <f>IF($B33&gt;0, IF(VLOOKUP($B33,'1. Invulsheet medewerkers'!$B:$N,2,0)&lt;=N$8,(VLOOKUP($B33,'1. Invulsheet medewerkers'!$B:$N,13,0)/12)*N$10,0),)</f>
        <v>0</v>
      </c>
      <c r="O33" s="237"/>
      <c r="P33" s="236"/>
      <c r="Q33" s="236"/>
      <c r="R33" s="236"/>
      <c r="S33" s="236"/>
      <c r="T33" s="236"/>
      <c r="U33" s="236"/>
      <c r="V33" s="236"/>
      <c r="W33" s="236"/>
      <c r="X33" s="236"/>
    </row>
    <row r="34" spans="1:24" x14ac:dyDescent="0.2">
      <c r="A34" s="236"/>
      <c r="B34" s="236"/>
      <c r="C34" s="236">
        <f>IF($B34&gt;0, IF(VLOOKUP($B34,'1. Invulsheet medewerkers'!$B:$N,2,0)&lt;=C$10,(VLOOKUP($B34,'1. Invulsheet medewerkers'!$B:$N,13,0)/12)*C$12,0),)</f>
        <v>0</v>
      </c>
      <c r="D34" s="236">
        <f>IF($B34&gt;0, IF(VLOOKUP($B34,'1. Invulsheet medewerkers'!$B:$N,2,0)&lt;=D$10,(VLOOKUP($B34,'1. Invulsheet medewerkers'!$B:$N,13,0)/12)*D$12,0),)</f>
        <v>0</v>
      </c>
      <c r="E34" s="236">
        <f>IF($B34&gt;0, IF(VLOOKUP($B34,'1. Invulsheet medewerkers'!$B:$N,2,0)&lt;=E$10,(VLOOKUP($B34,'1. Invulsheet medewerkers'!$B:$N,13,0)/12)*E$12,0),)</f>
        <v>0</v>
      </c>
      <c r="F34" s="236">
        <f>IF($B34&gt;0, IF(VLOOKUP($B34,'1. Invulsheet medewerkers'!$B:$N,2,0)&lt;=F$10,(VLOOKUP($B34,'1. Invulsheet medewerkers'!$B:$N,13,0)/12)*F$12,0),)</f>
        <v>0</v>
      </c>
      <c r="G34" s="236">
        <f>IF($B34&gt;0, IF(VLOOKUP($B34,'1. Invulsheet medewerkers'!$B:$N,2,0)&lt;=G$10,(VLOOKUP($B34,'1. Invulsheet medewerkers'!$B:$N,13,0)/12)*G$12,0),)</f>
        <v>0</v>
      </c>
      <c r="H34" s="236">
        <f>IF($B34&gt;0, IF(VLOOKUP($B34,'1. Invulsheet medewerkers'!$B:$N,2,0)&lt;=H$10,(VLOOKUP($B34,'1. Invulsheet medewerkers'!$B:$N,13,0)/12)*H$12,0),)</f>
        <v>0</v>
      </c>
      <c r="I34" s="236">
        <f>IF($B34&gt;0, IF(VLOOKUP($B34,'1. Invulsheet medewerkers'!$B:$N,2,0)&lt;=I$10,(VLOOKUP($B34,'1. Invulsheet medewerkers'!$B:$N,13,0)/12)*I$12,0),)</f>
        <v>0</v>
      </c>
      <c r="J34" s="236">
        <f>IF($B34&gt;0, IF(VLOOKUP($B34,'1. Invulsheet medewerkers'!$B:$N,2,0)&lt;=J$10,(VLOOKUP($B34,'1. Invulsheet medewerkers'!$B:$N,13,0)/12)*J$12,0),)</f>
        <v>0</v>
      </c>
      <c r="K34" s="236">
        <f>IF($B34&gt;0, IF(VLOOKUP($B34,'1. Invulsheet medewerkers'!$B:$N,2,0)&lt;=K$10,(VLOOKUP($B34,'1. Invulsheet medewerkers'!$B:$N,13,0)/12)*K$12,0),)</f>
        <v>0</v>
      </c>
      <c r="L34" s="236">
        <f>IF($B34&gt;0, IF(VLOOKUP($B34,'1. Invulsheet medewerkers'!$B:$N,2,0)&lt;=L$10,(VLOOKUP($B34,'1. Invulsheet medewerkers'!$B:$N,13,0)/12)*L$12,0),)</f>
        <v>0</v>
      </c>
      <c r="M34" s="236">
        <f>IF($B34&gt;0, IF(VLOOKUP($B34,'1. Invulsheet medewerkers'!$B:$N,2,0)&lt;=M$10,(VLOOKUP($B34,'1. Invulsheet medewerkers'!$B:$N,13,0)/12)*M$12,0),)</f>
        <v>0</v>
      </c>
      <c r="N34" s="236">
        <f>IF($B34&gt;0, IF(VLOOKUP($B34,'1. Invulsheet medewerkers'!$B:$N,2,0)&lt;=N$10,(VLOOKUP($B34,'1. Invulsheet medewerkers'!$B:$N,13,0)/12)*N$12,0),)</f>
        <v>0</v>
      </c>
      <c r="O34" s="236"/>
      <c r="P34" s="236"/>
      <c r="Q34" s="236"/>
      <c r="R34" s="236"/>
      <c r="S34" s="236"/>
      <c r="T34" s="236"/>
      <c r="U34" s="236"/>
      <c r="V34" s="236"/>
      <c r="W34" s="236"/>
      <c r="X34" s="236"/>
    </row>
    <row r="35" spans="1:24" ht="15" customHeight="1" x14ac:dyDescent="0.2">
      <c r="A35" s="236"/>
      <c r="B35" s="30"/>
      <c r="C35" s="30"/>
      <c r="D35" s="30"/>
      <c r="E35" s="30"/>
      <c r="F35" s="30"/>
      <c r="G35" s="30"/>
      <c r="H35" s="30"/>
      <c r="I35" s="30"/>
      <c r="J35" s="30"/>
      <c r="K35" s="30"/>
      <c r="L35" s="30"/>
      <c r="M35" s="30"/>
      <c r="N35" s="30"/>
      <c r="O35" s="30"/>
      <c r="P35" s="30"/>
      <c r="Q35" s="30"/>
      <c r="R35" s="30"/>
      <c r="S35" s="30"/>
      <c r="T35" s="30"/>
      <c r="U35" s="30"/>
      <c r="V35" s="30"/>
      <c r="W35" s="30"/>
      <c r="X35" s="30"/>
    </row>
    <row r="36" spans="1:24" ht="15" customHeight="1" x14ac:dyDescent="0.2">
      <c r="A36" s="236"/>
      <c r="B36" s="30"/>
      <c r="C36" s="30"/>
      <c r="D36" s="30"/>
      <c r="E36" s="30"/>
      <c r="F36" s="30"/>
      <c r="G36" s="30"/>
      <c r="H36" s="30"/>
      <c r="I36" s="30"/>
      <c r="J36" s="30"/>
      <c r="K36" s="30"/>
      <c r="L36" s="30"/>
      <c r="M36" s="30"/>
      <c r="N36" s="30"/>
      <c r="O36" s="30"/>
      <c r="P36" s="30"/>
      <c r="Q36" s="30"/>
      <c r="R36" s="30"/>
      <c r="S36" s="30"/>
      <c r="T36" s="30"/>
      <c r="U36" s="30"/>
      <c r="V36" s="30"/>
      <c r="W36" s="30"/>
      <c r="X36" s="30"/>
    </row>
    <row r="37" spans="1:24" ht="15" customHeight="1" x14ac:dyDescent="0.2">
      <c r="A37" s="236"/>
      <c r="B37" s="30"/>
      <c r="C37" s="30"/>
      <c r="D37" s="30"/>
      <c r="E37" s="30"/>
      <c r="F37" s="30"/>
      <c r="G37" s="30"/>
      <c r="H37" s="30"/>
      <c r="I37" s="30"/>
      <c r="J37" s="30"/>
      <c r="K37" s="30"/>
      <c r="L37" s="30"/>
      <c r="M37" s="30"/>
      <c r="N37" s="30"/>
      <c r="O37" s="30"/>
      <c r="P37" s="30"/>
      <c r="Q37" s="30"/>
      <c r="R37" s="30"/>
      <c r="S37" s="30"/>
      <c r="T37" s="30"/>
      <c r="U37" s="30"/>
      <c r="V37" s="30"/>
      <c r="W37" s="30"/>
      <c r="X37" s="30"/>
    </row>
    <row r="38" spans="1:24" ht="15" customHeight="1" x14ac:dyDescent="0.2">
      <c r="A38" s="236"/>
      <c r="B38" s="30"/>
      <c r="C38" s="30"/>
      <c r="D38" s="30"/>
      <c r="E38" s="30"/>
      <c r="F38" s="30"/>
      <c r="G38" s="30"/>
      <c r="H38" s="30"/>
      <c r="I38" s="30"/>
      <c r="J38" s="30"/>
      <c r="K38" s="30"/>
      <c r="L38" s="30"/>
      <c r="M38" s="30"/>
      <c r="N38" s="30"/>
      <c r="O38" s="30"/>
      <c r="P38" s="30"/>
      <c r="Q38" s="30"/>
      <c r="R38" s="30"/>
      <c r="S38" s="30"/>
      <c r="T38" s="30"/>
      <c r="U38" s="30"/>
      <c r="V38" s="30"/>
      <c r="W38" s="30"/>
      <c r="X38" s="30"/>
    </row>
    <row r="39" spans="1:24" ht="15" customHeight="1" x14ac:dyDescent="0.2">
      <c r="A39" s="236"/>
      <c r="B39" s="30"/>
      <c r="C39" s="30"/>
      <c r="D39" s="30"/>
      <c r="E39" s="30"/>
      <c r="F39" s="30"/>
      <c r="G39" s="30"/>
      <c r="H39" s="30"/>
      <c r="I39" s="30"/>
      <c r="J39" s="30"/>
      <c r="K39" s="30"/>
      <c r="L39" s="30"/>
      <c r="M39" s="30"/>
      <c r="N39" s="30"/>
      <c r="O39" s="30"/>
      <c r="P39" s="30"/>
      <c r="Q39" s="30"/>
      <c r="R39" s="30"/>
      <c r="S39" s="30"/>
      <c r="T39" s="30"/>
      <c r="U39" s="30"/>
      <c r="V39" s="30"/>
      <c r="W39" s="30"/>
      <c r="X39" s="30"/>
    </row>
    <row r="40" spans="1:24" ht="15" customHeight="1" x14ac:dyDescent="0.2">
      <c r="A40" s="236"/>
      <c r="B40" s="30"/>
      <c r="C40" s="30"/>
      <c r="D40" s="30"/>
      <c r="E40" s="30"/>
      <c r="F40" s="30"/>
      <c r="G40" s="30"/>
      <c r="H40" s="30"/>
      <c r="I40" s="30"/>
      <c r="J40" s="30"/>
      <c r="K40" s="30"/>
      <c r="L40" s="30"/>
      <c r="M40" s="30"/>
      <c r="N40" s="30"/>
      <c r="O40" s="30"/>
      <c r="P40" s="30"/>
      <c r="Q40" s="30"/>
      <c r="R40" s="30"/>
      <c r="S40" s="30"/>
      <c r="T40" s="30"/>
      <c r="U40" s="30"/>
      <c r="V40" s="30"/>
      <c r="W40" s="30"/>
      <c r="X40" s="30"/>
    </row>
    <row r="41" spans="1:24" ht="15" customHeight="1" x14ac:dyDescent="0.2">
      <c r="A41" s="236"/>
      <c r="B41" s="30"/>
      <c r="C41" s="30"/>
      <c r="D41" s="30"/>
      <c r="E41" s="30"/>
      <c r="F41" s="30"/>
      <c r="G41" s="30"/>
      <c r="H41" s="30"/>
      <c r="I41" s="30"/>
      <c r="J41" s="30"/>
      <c r="K41" s="30"/>
      <c r="L41" s="30"/>
      <c r="M41" s="30"/>
      <c r="N41" s="30"/>
      <c r="O41" s="30"/>
      <c r="P41" s="30"/>
      <c r="Q41" s="30"/>
      <c r="R41" s="30"/>
      <c r="S41" s="30"/>
      <c r="T41" s="30"/>
      <c r="U41" s="30"/>
      <c r="V41" s="30"/>
      <c r="W41" s="30"/>
      <c r="X41" s="30"/>
    </row>
    <row r="42" spans="1:24" ht="15" customHeight="1" x14ac:dyDescent="0.2">
      <c r="A42" s="236"/>
      <c r="B42" s="30"/>
      <c r="C42" s="30"/>
      <c r="D42" s="30"/>
      <c r="E42" s="30"/>
      <c r="F42" s="30"/>
      <c r="G42" s="30"/>
      <c r="H42" s="30"/>
      <c r="I42" s="30"/>
      <c r="J42" s="30"/>
      <c r="K42" s="30"/>
      <c r="L42" s="30"/>
      <c r="M42" s="30"/>
      <c r="N42" s="30"/>
      <c r="O42" s="30"/>
      <c r="P42" s="30"/>
      <c r="Q42" s="30"/>
      <c r="R42" s="30"/>
      <c r="S42" s="30"/>
      <c r="T42" s="30"/>
      <c r="U42" s="30"/>
      <c r="V42" s="30"/>
      <c r="W42" s="30"/>
      <c r="X42" s="30"/>
    </row>
    <row r="43" spans="1:24" ht="15" customHeight="1" x14ac:dyDescent="0.2">
      <c r="A43" s="236"/>
      <c r="B43" s="30"/>
      <c r="C43" s="30"/>
      <c r="D43" s="30"/>
      <c r="E43" s="30"/>
      <c r="F43" s="30"/>
      <c r="G43" s="30"/>
      <c r="H43" s="30"/>
      <c r="I43" s="30"/>
      <c r="J43" s="30"/>
      <c r="K43" s="30"/>
      <c r="L43" s="30"/>
      <c r="M43" s="30"/>
      <c r="N43" s="30"/>
      <c r="O43" s="30"/>
      <c r="P43" s="30"/>
      <c r="Q43" s="30"/>
      <c r="R43" s="30"/>
      <c r="S43" s="30"/>
      <c r="T43" s="30"/>
      <c r="U43" s="30"/>
      <c r="V43" s="30"/>
      <c r="W43" s="30"/>
      <c r="X43" s="30"/>
    </row>
    <row r="44" spans="1:24" ht="15" customHeight="1" x14ac:dyDescent="0.2">
      <c r="A44" s="236"/>
      <c r="B44" s="30"/>
      <c r="C44" s="30"/>
      <c r="D44" s="30"/>
      <c r="E44" s="30"/>
      <c r="F44" s="30"/>
      <c r="G44" s="30"/>
      <c r="H44" s="30"/>
      <c r="I44" s="30"/>
      <c r="J44" s="30"/>
      <c r="K44" s="30"/>
      <c r="L44" s="30"/>
      <c r="M44" s="30"/>
      <c r="N44" s="30"/>
      <c r="O44" s="30"/>
      <c r="P44" s="30"/>
      <c r="Q44" s="30"/>
      <c r="R44" s="30"/>
      <c r="S44" s="30"/>
      <c r="T44" s="30"/>
      <c r="U44" s="30"/>
      <c r="V44" s="30"/>
      <c r="W44" s="30"/>
      <c r="X44" s="30"/>
    </row>
    <row r="45" spans="1:24" ht="15" customHeight="1" x14ac:dyDescent="0.2">
      <c r="A45" s="236"/>
      <c r="B45" s="30"/>
      <c r="C45" s="30"/>
      <c r="D45" s="30"/>
      <c r="E45" s="30"/>
      <c r="F45" s="30"/>
      <c r="G45" s="30"/>
      <c r="H45" s="30"/>
      <c r="I45" s="30"/>
      <c r="J45" s="30"/>
      <c r="K45" s="30"/>
      <c r="L45" s="30"/>
      <c r="M45" s="30"/>
      <c r="N45" s="30"/>
      <c r="O45" s="30"/>
      <c r="P45" s="30"/>
      <c r="Q45" s="30"/>
      <c r="R45" s="30"/>
      <c r="S45" s="30"/>
      <c r="T45" s="30"/>
      <c r="U45" s="30"/>
      <c r="V45" s="30"/>
      <c r="W45" s="30"/>
      <c r="X45" s="30"/>
    </row>
    <row r="46" spans="1:24" ht="15" customHeight="1" x14ac:dyDescent="0.2">
      <c r="A46" s="236"/>
      <c r="B46" s="30"/>
      <c r="C46" s="30"/>
      <c r="D46" s="30"/>
      <c r="E46" s="30"/>
      <c r="F46" s="30"/>
      <c r="G46" s="30"/>
      <c r="H46" s="30"/>
      <c r="I46" s="30"/>
      <c r="J46" s="30"/>
      <c r="K46" s="30"/>
      <c r="L46" s="30"/>
      <c r="M46" s="30"/>
      <c r="N46" s="30"/>
      <c r="O46" s="30"/>
      <c r="P46" s="30"/>
      <c r="Q46" s="30"/>
      <c r="R46" s="30"/>
      <c r="S46" s="30"/>
      <c r="T46" s="30"/>
      <c r="U46" s="30"/>
      <c r="V46" s="30"/>
      <c r="W46" s="30"/>
      <c r="X46" s="30"/>
    </row>
    <row r="47" spans="1:24" ht="15" customHeight="1" x14ac:dyDescent="0.2">
      <c r="A47" s="236"/>
      <c r="B47" s="30"/>
      <c r="C47" s="30"/>
      <c r="D47" s="30"/>
      <c r="E47" s="30"/>
      <c r="F47" s="30"/>
      <c r="G47" s="30"/>
      <c r="H47" s="30"/>
      <c r="I47" s="30"/>
      <c r="J47" s="30"/>
      <c r="K47" s="30"/>
      <c r="L47" s="30"/>
      <c r="M47" s="30"/>
      <c r="N47" s="30"/>
      <c r="O47" s="30"/>
      <c r="P47" s="30"/>
      <c r="Q47" s="30"/>
      <c r="R47" s="30"/>
      <c r="S47" s="30"/>
      <c r="T47" s="30"/>
      <c r="U47" s="30"/>
      <c r="V47" s="30"/>
      <c r="W47" s="30"/>
      <c r="X47" s="30"/>
    </row>
    <row r="48" spans="1:24" ht="15" customHeight="1" x14ac:dyDescent="0.2">
      <c r="A48" s="236"/>
      <c r="B48" s="30"/>
      <c r="C48" s="30"/>
      <c r="D48" s="30"/>
      <c r="E48" s="30"/>
      <c r="F48" s="30"/>
      <c r="G48" s="30"/>
      <c r="H48" s="30"/>
      <c r="I48" s="30"/>
      <c r="J48" s="30"/>
      <c r="K48" s="30"/>
      <c r="L48" s="30"/>
      <c r="M48" s="30"/>
      <c r="N48" s="30"/>
      <c r="O48" s="30"/>
      <c r="P48" s="30"/>
      <c r="Q48" s="30"/>
      <c r="R48" s="30"/>
      <c r="S48" s="30"/>
      <c r="T48" s="30"/>
      <c r="U48" s="30"/>
      <c r="V48" s="30"/>
      <c r="W48" s="30"/>
      <c r="X48" s="30"/>
    </row>
  </sheetData>
  <mergeCells count="1">
    <mergeCell ref="B2:C2"/>
  </mergeCells>
  <conditionalFormatting sqref="O12">
    <cfRule type="cellIs" dxfId="0" priority="1" operator="notEqual">
      <formula>12</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X48"/>
  <sheetViews>
    <sheetView workbookViewId="0">
      <selection activeCell="B43" sqref="B43"/>
    </sheetView>
  </sheetViews>
  <sheetFormatPr baseColWidth="10" defaultColWidth="14.5" defaultRowHeight="15" customHeight="1" x14ac:dyDescent="0.2"/>
  <cols>
    <col min="1" max="1" width="4.83203125" customWidth="1"/>
    <col min="2" max="2" width="37.6640625" customWidth="1"/>
    <col min="3" max="3" width="13" customWidth="1"/>
    <col min="4" max="14" width="11.5" customWidth="1"/>
    <col min="15" max="15" width="12.6640625" customWidth="1"/>
    <col min="16" max="16" width="11.33203125" customWidth="1"/>
  </cols>
  <sheetData>
    <row r="1" spans="1:24" ht="18.75" customHeight="1" x14ac:dyDescent="0.2">
      <c r="A1" s="238"/>
      <c r="B1" s="238"/>
      <c r="C1" s="30"/>
      <c r="D1" s="30"/>
      <c r="E1" s="30"/>
      <c r="F1" s="30"/>
      <c r="G1" s="30"/>
      <c r="H1" s="30"/>
      <c r="I1" s="30"/>
      <c r="J1" s="30"/>
      <c r="K1" s="30"/>
      <c r="L1" s="30"/>
      <c r="M1" s="30"/>
      <c r="N1" s="30"/>
      <c r="O1" s="239"/>
      <c r="P1" s="30"/>
      <c r="Q1" s="30"/>
      <c r="R1" s="30"/>
      <c r="S1" s="30"/>
      <c r="T1" s="30"/>
      <c r="U1" s="30"/>
      <c r="V1" s="30"/>
      <c r="W1" s="30"/>
    </row>
    <row r="2" spans="1:24" ht="30.75" customHeight="1" x14ac:dyDescent="0.2">
      <c r="A2" s="238"/>
      <c r="B2" s="361"/>
      <c r="C2" s="343"/>
      <c r="D2" s="30"/>
      <c r="E2" s="30"/>
      <c r="F2" s="30"/>
      <c r="G2" s="30"/>
      <c r="H2" s="30"/>
      <c r="I2" s="30"/>
      <c r="J2" s="30"/>
      <c r="K2" s="30"/>
      <c r="L2" s="30"/>
      <c r="M2" s="30"/>
      <c r="N2" s="30"/>
      <c r="O2" s="239"/>
      <c r="P2" s="30"/>
      <c r="Q2" s="30"/>
      <c r="R2" s="30"/>
      <c r="S2" s="30"/>
      <c r="T2" s="30"/>
      <c r="U2" s="30"/>
      <c r="V2" s="30"/>
      <c r="W2" s="30"/>
      <c r="X2" s="30"/>
    </row>
    <row r="3" spans="1:24" ht="16.5" customHeight="1" x14ac:dyDescent="0.2">
      <c r="A3" s="238"/>
      <c r="B3" s="238"/>
      <c r="C3" s="30"/>
      <c r="D3" s="30"/>
      <c r="E3" s="30"/>
      <c r="F3" s="30"/>
      <c r="G3" s="30"/>
      <c r="H3" s="30"/>
      <c r="I3" s="30"/>
      <c r="J3" s="30"/>
      <c r="K3" s="30"/>
      <c r="L3" s="30"/>
      <c r="M3" s="30"/>
      <c r="N3" s="30"/>
      <c r="O3" s="239"/>
      <c r="P3" s="30"/>
      <c r="Q3" s="30"/>
      <c r="R3" s="30"/>
      <c r="S3" s="30"/>
      <c r="T3" s="30"/>
      <c r="U3" s="30"/>
      <c r="V3" s="30"/>
      <c r="W3" s="30"/>
      <c r="X3" s="30"/>
    </row>
    <row r="4" spans="1:24" ht="21.75" customHeight="1" x14ac:dyDescent="0.25">
      <c r="A4" s="238"/>
      <c r="B4" s="240" t="s">
        <v>113</v>
      </c>
      <c r="C4" s="30"/>
      <c r="D4" s="30"/>
      <c r="E4" s="30"/>
      <c r="F4" s="30"/>
      <c r="G4" s="30"/>
      <c r="H4" s="30"/>
      <c r="I4" s="30"/>
      <c r="J4" s="30"/>
      <c r="K4" s="30"/>
      <c r="L4" s="30"/>
      <c r="M4" s="30"/>
      <c r="N4" s="30"/>
      <c r="O4" s="239"/>
      <c r="P4" s="30"/>
      <c r="Q4" s="30"/>
      <c r="R4" s="30"/>
      <c r="S4" s="30"/>
      <c r="T4" s="30"/>
      <c r="U4" s="30"/>
      <c r="V4" s="30"/>
      <c r="W4" s="30"/>
      <c r="X4" s="30"/>
    </row>
    <row r="5" spans="1:24" ht="25.5" customHeight="1" x14ac:dyDescent="0.2">
      <c r="A5" s="241"/>
      <c r="B5" s="371" t="s">
        <v>114</v>
      </c>
      <c r="C5" s="370"/>
      <c r="D5" s="370"/>
      <c r="E5" s="370"/>
      <c r="F5" s="370"/>
      <c r="G5" s="370"/>
      <c r="H5" s="370"/>
      <c r="I5" s="370"/>
      <c r="J5" s="370"/>
      <c r="K5" s="370"/>
      <c r="L5" s="370"/>
      <c r="M5" s="372"/>
      <c r="N5" s="242"/>
      <c r="O5" s="242"/>
      <c r="P5" s="30"/>
      <c r="Q5" s="30"/>
      <c r="R5" s="30"/>
      <c r="S5" s="30"/>
      <c r="T5" s="30"/>
      <c r="U5" s="30"/>
      <c r="V5" s="30"/>
      <c r="W5" s="30"/>
      <c r="X5" s="30"/>
    </row>
    <row r="6" spans="1:24" x14ac:dyDescent="0.2">
      <c r="A6" s="35"/>
      <c r="B6" s="35"/>
      <c r="C6" s="243"/>
      <c r="D6" s="243"/>
      <c r="E6" s="243"/>
      <c r="F6" s="243"/>
      <c r="G6" s="243"/>
      <c r="H6" s="243"/>
      <c r="I6" s="243"/>
      <c r="J6" s="243"/>
      <c r="K6" s="243"/>
      <c r="L6" s="243"/>
      <c r="M6" s="243"/>
      <c r="N6" s="243"/>
      <c r="O6" s="243"/>
      <c r="P6" s="30"/>
      <c r="Q6" s="30"/>
      <c r="R6" s="30"/>
      <c r="S6" s="30"/>
      <c r="T6" s="30"/>
      <c r="U6" s="30"/>
      <c r="V6" s="30"/>
      <c r="W6" s="30"/>
      <c r="X6" s="30"/>
    </row>
    <row r="7" spans="1:24" ht="22.5" customHeight="1" x14ac:dyDescent="0.2">
      <c r="A7" s="244"/>
      <c r="B7" s="245" t="s">
        <v>115</v>
      </c>
      <c r="C7" s="246" t="s">
        <v>88</v>
      </c>
      <c r="D7" s="246" t="s">
        <v>89</v>
      </c>
      <c r="E7" s="246" t="s">
        <v>90</v>
      </c>
      <c r="F7" s="246" t="s">
        <v>91</v>
      </c>
      <c r="G7" s="246" t="s">
        <v>92</v>
      </c>
      <c r="H7" s="246" t="s">
        <v>93</v>
      </c>
      <c r="I7" s="246" t="s">
        <v>94</v>
      </c>
      <c r="J7" s="246" t="s">
        <v>95</v>
      </c>
      <c r="K7" s="246" t="s">
        <v>96</v>
      </c>
      <c r="L7" s="246" t="s">
        <v>97</v>
      </c>
      <c r="M7" s="246" t="s">
        <v>98</v>
      </c>
      <c r="N7" s="246" t="s">
        <v>99</v>
      </c>
      <c r="O7" s="247" t="s">
        <v>116</v>
      </c>
      <c r="P7" s="30"/>
      <c r="Q7" s="30"/>
      <c r="R7" s="30"/>
      <c r="S7" s="30"/>
      <c r="T7" s="30"/>
      <c r="U7" s="30"/>
      <c r="V7" s="30"/>
      <c r="W7" s="30"/>
      <c r="X7" s="30"/>
    </row>
    <row r="8" spans="1:24" x14ac:dyDescent="0.2">
      <c r="A8" s="248"/>
      <c r="B8" s="249" t="s">
        <v>117</v>
      </c>
      <c r="C8" s="250">
        <f ca="1">'2c. Omzet mdw.'!C13</f>
        <v>81982.78853333334</v>
      </c>
      <c r="D8" s="251">
        <f ca="1">'2c. Omzet mdw.'!D13</f>
        <v>71099.628599999996</v>
      </c>
      <c r="E8" s="251">
        <f ca="1">'2c. Omzet mdw.'!E13</f>
        <v>69185.802433333331</v>
      </c>
      <c r="F8" s="251">
        <f ca="1">'2c. Omzet mdw.'!F13</f>
        <v>105423.88559999999</v>
      </c>
      <c r="G8" s="251">
        <f ca="1">'2c. Omzet mdw.'!G13</f>
        <v>109576.85759999999</v>
      </c>
      <c r="H8" s="251">
        <f ca="1">'2c. Omzet mdw.'!H13</f>
        <v>108096.36906666668</v>
      </c>
      <c r="I8" s="251">
        <f ca="1">'2c. Omzet mdw.'!I13</f>
        <v>59250.600533333316</v>
      </c>
      <c r="J8" s="251">
        <f ca="1">'2c. Omzet mdw.'!J13</f>
        <v>85226.444799999997</v>
      </c>
      <c r="K8" s="251">
        <f ca="1">'2c. Omzet mdw.'!K13</f>
        <v>102433.24160000001</v>
      </c>
      <c r="L8" s="251">
        <f ca="1">'2c. Omzet mdw.'!L13</f>
        <v>115291.75039999999</v>
      </c>
      <c r="M8" s="251">
        <f ca="1">'2c. Omzet mdw.'!M13</f>
        <v>110322.27840000002</v>
      </c>
      <c r="N8" s="252">
        <f ca="1">'2c. Omzet mdw.'!N13</f>
        <v>112475.71626666667</v>
      </c>
      <c r="O8" s="253">
        <f t="shared" ref="O8:O10" ca="1" si="0">SUM(C8:N8)</f>
        <v>1130365.3638333334</v>
      </c>
      <c r="P8" s="30"/>
      <c r="Q8" s="30"/>
      <c r="R8" s="30"/>
      <c r="S8" s="30"/>
      <c r="T8" s="30"/>
      <c r="U8" s="30"/>
      <c r="V8" s="30"/>
      <c r="W8" s="30"/>
      <c r="X8" s="30"/>
    </row>
    <row r="9" spans="1:24" ht="15.75" customHeight="1" x14ac:dyDescent="0.2">
      <c r="A9" s="248"/>
      <c r="B9" s="249" t="s">
        <v>118</v>
      </c>
      <c r="C9" s="254">
        <v>0</v>
      </c>
      <c r="D9" s="255">
        <v>0</v>
      </c>
      <c r="E9" s="255">
        <v>0</v>
      </c>
      <c r="F9" s="255">
        <v>0</v>
      </c>
      <c r="G9" s="255">
        <v>0</v>
      </c>
      <c r="H9" s="255">
        <v>0</v>
      </c>
      <c r="I9" s="255">
        <v>0</v>
      </c>
      <c r="J9" s="255">
        <v>0</v>
      </c>
      <c r="K9" s="255">
        <v>0</v>
      </c>
      <c r="L9" s="255">
        <v>0</v>
      </c>
      <c r="M9" s="255">
        <v>0</v>
      </c>
      <c r="N9" s="256">
        <v>0</v>
      </c>
      <c r="O9" s="253">
        <f t="shared" si="0"/>
        <v>0</v>
      </c>
      <c r="P9" s="30"/>
      <c r="Q9" s="30"/>
      <c r="R9" s="30"/>
      <c r="S9" s="30"/>
      <c r="T9" s="30"/>
      <c r="U9" s="30"/>
      <c r="V9" s="30"/>
      <c r="W9" s="30"/>
      <c r="X9" s="30"/>
    </row>
    <row r="10" spans="1:24" ht="15.75" customHeight="1" x14ac:dyDescent="0.2">
      <c r="A10" s="248"/>
      <c r="B10" s="249" t="s">
        <v>119</v>
      </c>
      <c r="C10" s="257">
        <v>0</v>
      </c>
      <c r="D10" s="258">
        <v>0</v>
      </c>
      <c r="E10" s="258">
        <v>0</v>
      </c>
      <c r="F10" s="258">
        <v>0</v>
      </c>
      <c r="G10" s="258">
        <v>0</v>
      </c>
      <c r="H10" s="258">
        <v>0</v>
      </c>
      <c r="I10" s="258">
        <v>0</v>
      </c>
      <c r="J10" s="258">
        <v>0</v>
      </c>
      <c r="K10" s="258">
        <v>0</v>
      </c>
      <c r="L10" s="258">
        <v>0</v>
      </c>
      <c r="M10" s="258">
        <v>0</v>
      </c>
      <c r="N10" s="259">
        <v>0</v>
      </c>
      <c r="O10" s="260">
        <f t="shared" si="0"/>
        <v>0</v>
      </c>
      <c r="P10" s="30"/>
      <c r="Q10" s="30"/>
      <c r="R10" s="30"/>
      <c r="S10" s="30"/>
      <c r="T10" s="30"/>
      <c r="U10" s="30"/>
      <c r="V10" s="30"/>
      <c r="W10" s="30"/>
      <c r="X10" s="30"/>
    </row>
    <row r="11" spans="1:24" ht="21" customHeight="1" x14ac:dyDescent="0.2">
      <c r="A11" s="244"/>
      <c r="B11" s="261" t="s">
        <v>120</v>
      </c>
      <c r="C11" s="262">
        <f t="shared" ref="C11:O11" ca="1" si="1">C8+(C9-C10)</f>
        <v>81982.78853333334</v>
      </c>
      <c r="D11" s="262">
        <f t="shared" ca="1" si="1"/>
        <v>71099.628599999996</v>
      </c>
      <c r="E11" s="262">
        <f t="shared" ca="1" si="1"/>
        <v>69185.802433333331</v>
      </c>
      <c r="F11" s="262">
        <f t="shared" ca="1" si="1"/>
        <v>105423.88559999999</v>
      </c>
      <c r="G11" s="262">
        <f t="shared" ca="1" si="1"/>
        <v>109576.85759999999</v>
      </c>
      <c r="H11" s="262">
        <f t="shared" ca="1" si="1"/>
        <v>108096.36906666668</v>
      </c>
      <c r="I11" s="262">
        <f t="shared" ca="1" si="1"/>
        <v>59250.600533333316</v>
      </c>
      <c r="J11" s="262">
        <f t="shared" ca="1" si="1"/>
        <v>85226.444799999997</v>
      </c>
      <c r="K11" s="262">
        <f t="shared" ca="1" si="1"/>
        <v>102433.24160000001</v>
      </c>
      <c r="L11" s="262">
        <f t="shared" ca="1" si="1"/>
        <v>115291.75039999999</v>
      </c>
      <c r="M11" s="262">
        <f t="shared" ca="1" si="1"/>
        <v>110322.27840000002</v>
      </c>
      <c r="N11" s="263">
        <f t="shared" ca="1" si="1"/>
        <v>112475.71626666667</v>
      </c>
      <c r="O11" s="264">
        <f t="shared" ca="1" si="1"/>
        <v>1130365.3638333334</v>
      </c>
      <c r="P11" s="30"/>
      <c r="Q11" s="30"/>
      <c r="R11" s="30"/>
      <c r="S11" s="30"/>
      <c r="T11" s="30"/>
      <c r="U11" s="30"/>
      <c r="V11" s="30"/>
      <c r="W11" s="30"/>
      <c r="X11" s="30"/>
    </row>
    <row r="12" spans="1:24" ht="15.75" customHeight="1" x14ac:dyDescent="0.2">
      <c r="A12" s="30"/>
      <c r="B12" s="33"/>
      <c r="C12" s="213"/>
      <c r="D12" s="213"/>
      <c r="E12" s="213"/>
      <c r="F12" s="213"/>
      <c r="G12" s="213"/>
      <c r="H12" s="213"/>
      <c r="I12" s="213"/>
      <c r="J12" s="213"/>
      <c r="K12" s="213"/>
      <c r="L12" s="213"/>
      <c r="M12" s="213"/>
      <c r="N12" s="213"/>
      <c r="O12" s="213"/>
      <c r="P12" s="30"/>
      <c r="Q12" s="30"/>
      <c r="R12" s="30"/>
      <c r="S12" s="30"/>
      <c r="T12" s="30"/>
      <c r="U12" s="30"/>
      <c r="V12" s="30"/>
      <c r="W12" s="30"/>
      <c r="X12" s="30"/>
    </row>
    <row r="13" spans="1:24" ht="15.75" customHeight="1" x14ac:dyDescent="0.2">
      <c r="A13" s="30"/>
      <c r="B13" s="265" t="s">
        <v>121</v>
      </c>
      <c r="C13" s="213"/>
      <c r="D13" s="213"/>
      <c r="E13" s="213"/>
      <c r="F13" s="213"/>
      <c r="G13" s="213"/>
      <c r="H13" s="213"/>
      <c r="I13" s="213"/>
      <c r="J13" s="213"/>
      <c r="K13" s="213"/>
      <c r="L13" s="213"/>
      <c r="M13" s="213"/>
      <c r="N13" s="213"/>
      <c r="O13" s="213"/>
      <c r="P13" s="31"/>
      <c r="Q13" s="31"/>
      <c r="R13" s="31"/>
      <c r="S13" s="31"/>
      <c r="T13" s="31"/>
      <c r="U13" s="31"/>
      <c r="V13" s="31"/>
      <c r="W13" s="31"/>
      <c r="X13" s="31"/>
    </row>
    <row r="14" spans="1:24" ht="15.75" customHeight="1" x14ac:dyDescent="0.2">
      <c r="A14" s="30"/>
      <c r="B14" s="3" t="s">
        <v>122</v>
      </c>
      <c r="C14" s="266">
        <f ca="1">IFERROR(__xludf.DUMMYFUNCTION("SUM((Filter('2b. Kosten mdw.'!C10:C30,'2b. Kosten mdw.'!$P$10:$P$30=""d"")))"),33264)</f>
        <v>33264</v>
      </c>
      <c r="D14" s="266">
        <f ca="1">IFERROR(__xludf.DUMMYFUNCTION("SUM((Filter('2b. Kosten mdw.'!D10:D30,'2b. Kosten mdw.'!$P$10:$P$30=""d"")))"),33264)</f>
        <v>33264</v>
      </c>
      <c r="E14" s="266">
        <f ca="1">IFERROR(__xludf.DUMMYFUNCTION("SUM((Filter('2b. Kosten mdw.'!E10:E30,'2b. Kosten mdw.'!$P$10:$P$30=""d"")))"),33264)</f>
        <v>33264</v>
      </c>
      <c r="F14" s="266">
        <f ca="1">IFERROR(__xludf.DUMMYFUNCTION("SUM((Filter('2b. Kosten mdw.'!F10:F30,'2b. Kosten mdw.'!$P$10:$P$30=""d"")))"),39864)</f>
        <v>39864</v>
      </c>
      <c r="G14" s="266">
        <f ca="1">IFERROR(__xludf.DUMMYFUNCTION("SUM((Filter('2b. Kosten mdw.'!G10:G30,'2b. Kosten mdw.'!$P$10:$P$30=""d"")))"),43824)</f>
        <v>43824</v>
      </c>
      <c r="H14" s="266">
        <f ca="1">IFERROR(__xludf.DUMMYFUNCTION("SUM((Filter('2b. Kosten mdw.'!H10:H30,'2b. Kosten mdw.'!$P$10:$P$30=""d"")))"),43824)</f>
        <v>43824</v>
      </c>
      <c r="I14" s="266">
        <f ca="1">IFERROR(__xludf.DUMMYFUNCTION("SUM((Filter('2b. Kosten mdw.'!I10:I30,'2b. Kosten mdw.'!$P$10:$P$30=""d"")))"),43824)</f>
        <v>43824</v>
      </c>
      <c r="J14" s="266">
        <f ca="1">IFERROR(__xludf.DUMMYFUNCTION("SUM((Filter('2b. Kosten mdw.'!J10:J30,'2b. Kosten mdw.'!$P$10:$P$30=""d"")))"),43824)</f>
        <v>43824</v>
      </c>
      <c r="K14" s="266">
        <f ca="1">IFERROR(__xludf.DUMMYFUNCTION("SUM((Filter('2b. Kosten mdw.'!K10:K30,'2b. Kosten mdw.'!$P$10:$P$30=""d"")))"),43824)</f>
        <v>43824</v>
      </c>
      <c r="L14" s="266">
        <f ca="1">IFERROR(__xludf.DUMMYFUNCTION("SUM((Filter('2b. Kosten mdw.'!L10:L30,'2b. Kosten mdw.'!$P$10:$P$30=""d"")))"),43824)</f>
        <v>43824</v>
      </c>
      <c r="M14" s="266">
        <f ca="1">IFERROR(__xludf.DUMMYFUNCTION("SUM((Filter('2b. Kosten mdw.'!M10:M30,'2b. Kosten mdw.'!$P$10:$P$30=""d"")))"),43824)</f>
        <v>43824</v>
      </c>
      <c r="N14" s="267">
        <f ca="1">IFERROR(__xludf.DUMMYFUNCTION("SUM((Filter('2b. Kosten mdw.'!N10:N30,'2b. Kosten mdw.'!$P$10:$P$30=""d"")))"),43824)</f>
        <v>43824</v>
      </c>
      <c r="O14" s="268">
        <f t="shared" ref="O14:O15" ca="1" si="2">SUM(C14:N14)</f>
        <v>490248</v>
      </c>
      <c r="P14" s="31"/>
      <c r="Q14" s="31"/>
      <c r="R14" s="31"/>
      <c r="S14" s="31"/>
      <c r="T14" s="31"/>
      <c r="U14" s="31"/>
      <c r="V14" s="31"/>
      <c r="W14" s="31"/>
      <c r="X14" s="31"/>
    </row>
    <row r="15" spans="1:24" ht="15.75" customHeight="1" x14ac:dyDescent="0.2">
      <c r="A15" s="30"/>
      <c r="B15" s="269" t="s">
        <v>123</v>
      </c>
      <c r="C15" s="270">
        <f ca="1">IFERROR(__xludf.DUMMYFUNCTION("SUM((Filter('2b. Kosten mdw.'!C10:C30,'2b. Kosten mdw.'!$P$10:$P$30=""i"")))"),8844)</f>
        <v>8844</v>
      </c>
      <c r="D15" s="270">
        <f ca="1">IFERROR(__xludf.DUMMYFUNCTION("SUM((Filter('2b. Kosten mdw.'!D10:D30,'2b. Kosten mdw.'!$P$10:$P$30=""i"")))"),8844)</f>
        <v>8844</v>
      </c>
      <c r="E15" s="270">
        <f ca="1">IFERROR(__xludf.DUMMYFUNCTION("SUM((Filter('2b. Kosten mdw.'!E10:E30,'2b. Kosten mdw.'!$P$10:$P$30=""i"")))"),8844)</f>
        <v>8844</v>
      </c>
      <c r="F15" s="270">
        <f ca="1">IFERROR(__xludf.DUMMYFUNCTION("SUM((Filter('2b. Kosten mdw.'!F10:F30,'2b. Kosten mdw.'!$P$10:$P$30=""i"")))"),8844)</f>
        <v>8844</v>
      </c>
      <c r="G15" s="270">
        <f ca="1">IFERROR(__xludf.DUMMYFUNCTION("SUM((Filter('2b. Kosten mdw.'!G10:G30,'2b. Kosten mdw.'!$P$10:$P$30=""i"")))"),8844)</f>
        <v>8844</v>
      </c>
      <c r="H15" s="270">
        <f ca="1">IFERROR(__xludf.DUMMYFUNCTION("SUM((Filter('2b. Kosten mdw.'!H10:H30,'2b. Kosten mdw.'!$P$10:$P$30=""i"")))"),8844)</f>
        <v>8844</v>
      </c>
      <c r="I15" s="270">
        <f ca="1">IFERROR(__xludf.DUMMYFUNCTION("SUM((Filter('2b. Kosten mdw.'!I10:I30,'2b. Kosten mdw.'!$P$10:$P$30=""i"")))"),12012)</f>
        <v>12012</v>
      </c>
      <c r="J15" s="270">
        <f ca="1">IFERROR(__xludf.DUMMYFUNCTION("SUM((Filter('2b. Kosten mdw.'!J10:J30,'2b. Kosten mdw.'!$P$10:$P$30=""i"")))"),12012)</f>
        <v>12012</v>
      </c>
      <c r="K15" s="270">
        <f ca="1">IFERROR(__xludf.DUMMYFUNCTION("SUM((Filter('2b. Kosten mdw.'!K10:K30,'2b. Kosten mdw.'!$P$10:$P$30=""i"")))"),12012)</f>
        <v>12012</v>
      </c>
      <c r="L15" s="270">
        <f ca="1">IFERROR(__xludf.DUMMYFUNCTION("SUM((Filter('2b. Kosten mdw.'!L10:L30,'2b. Kosten mdw.'!$P$10:$P$30=""i"")))"),12012)</f>
        <v>12012</v>
      </c>
      <c r="M15" s="270">
        <f ca="1">IFERROR(__xludf.DUMMYFUNCTION("SUM((Filter('2b. Kosten mdw.'!M10:M30,'2b. Kosten mdw.'!$P$10:$P$30=""i"")))"),12012)</f>
        <v>12012</v>
      </c>
      <c r="N15" s="271">
        <f ca="1">IFERROR(__xludf.DUMMYFUNCTION("SUM((Filter('2b. Kosten mdw.'!N10:N30,'2b. Kosten mdw.'!$P$10:$P$30=""i"")))"),12012)</f>
        <v>12012</v>
      </c>
      <c r="O15" s="272">
        <f t="shared" ca="1" si="2"/>
        <v>125136</v>
      </c>
      <c r="P15" s="31"/>
      <c r="Q15" s="31"/>
      <c r="R15" s="31"/>
      <c r="S15" s="31"/>
      <c r="T15" s="31"/>
      <c r="U15" s="31"/>
      <c r="V15" s="31"/>
      <c r="W15" s="31"/>
      <c r="X15" s="31"/>
    </row>
    <row r="16" spans="1:24" ht="23.25" customHeight="1" x14ac:dyDescent="0.2">
      <c r="A16" s="244"/>
      <c r="B16" s="273" t="s">
        <v>124</v>
      </c>
      <c r="C16" s="274">
        <f t="shared" ref="C16:O16" ca="1" si="3">SUM(C14:C15)</f>
        <v>42108</v>
      </c>
      <c r="D16" s="274">
        <f t="shared" ca="1" si="3"/>
        <v>42108</v>
      </c>
      <c r="E16" s="274">
        <f t="shared" ca="1" si="3"/>
        <v>42108</v>
      </c>
      <c r="F16" s="274">
        <f t="shared" ca="1" si="3"/>
        <v>48708</v>
      </c>
      <c r="G16" s="274">
        <f t="shared" ca="1" si="3"/>
        <v>52668</v>
      </c>
      <c r="H16" s="274">
        <f t="shared" ca="1" si="3"/>
        <v>52668</v>
      </c>
      <c r="I16" s="274">
        <f t="shared" ca="1" si="3"/>
        <v>55836</v>
      </c>
      <c r="J16" s="274">
        <f t="shared" ca="1" si="3"/>
        <v>55836</v>
      </c>
      <c r="K16" s="274">
        <f t="shared" ca="1" si="3"/>
        <v>55836</v>
      </c>
      <c r="L16" s="274">
        <f t="shared" ca="1" si="3"/>
        <v>55836</v>
      </c>
      <c r="M16" s="274">
        <f t="shared" ca="1" si="3"/>
        <v>55836</v>
      </c>
      <c r="N16" s="275">
        <f t="shared" ca="1" si="3"/>
        <v>55836</v>
      </c>
      <c r="O16" s="276">
        <f t="shared" ca="1" si="3"/>
        <v>615384</v>
      </c>
      <c r="P16" s="31"/>
      <c r="Q16" s="31"/>
      <c r="R16" s="31"/>
      <c r="S16" s="31"/>
      <c r="T16" s="31"/>
      <c r="U16" s="31"/>
      <c r="V16" s="31"/>
      <c r="W16" s="31"/>
      <c r="X16" s="31"/>
    </row>
    <row r="17" spans="1:24" ht="15.75" customHeight="1" x14ac:dyDescent="0.2">
      <c r="A17" s="30"/>
      <c r="B17" s="33"/>
      <c r="C17" s="213"/>
      <c r="D17" s="213"/>
      <c r="E17" s="213"/>
      <c r="F17" s="213"/>
      <c r="G17" s="213"/>
      <c r="H17" s="213"/>
      <c r="I17" s="213"/>
      <c r="J17" s="213"/>
      <c r="K17" s="213"/>
      <c r="L17" s="213"/>
      <c r="M17" s="213"/>
      <c r="N17" s="213"/>
      <c r="O17" s="213"/>
      <c r="P17" s="31"/>
      <c r="Q17" s="31"/>
      <c r="R17" s="31"/>
      <c r="S17" s="31"/>
      <c r="T17" s="31"/>
      <c r="U17" s="31"/>
      <c r="V17" s="31"/>
      <c r="W17" s="31"/>
      <c r="X17" s="31"/>
    </row>
    <row r="18" spans="1:24" ht="15.75" customHeight="1" x14ac:dyDescent="0.2">
      <c r="A18" s="35"/>
      <c r="B18" s="277" t="s">
        <v>125</v>
      </c>
      <c r="C18" s="278">
        <f ca="1">IFERROR(__xludf.DUMMYFUNCTION("SUM(filter('1. Invulsheet medewerkers'!$E$16:$E$50,'1. Invulsheet medewerkers'!$C$16:$C$50&lt;=1))"),7.2)</f>
        <v>7.2</v>
      </c>
      <c r="D18" s="278">
        <f ca="1">IFERROR(__xludf.DUMMYFUNCTION("SUM(filter('1. Invulsheet medewerkers'!$E$16:$E$50,'1. Invulsheet medewerkers'!$C$16:$C$50&lt;=2))"),7.2)</f>
        <v>7.2</v>
      </c>
      <c r="E18" s="278">
        <f ca="1">IFERROR(__xludf.DUMMYFUNCTION("SUM(filter('1. Invulsheet medewerkers'!$E$16:$E$50,'1. Invulsheet medewerkers'!$C$16:$C$50&lt;=3))"),7.2)</f>
        <v>7.2</v>
      </c>
      <c r="F18" s="278">
        <f ca="1">IFERROR(__xludf.DUMMYFUNCTION("SUM(filter('1. Invulsheet medewerkers'!$E$16:$E$50,'1. Invulsheet medewerkers'!$C$16:$C$50&lt;=4))"),8.2)</f>
        <v>8.1999999999999993</v>
      </c>
      <c r="G18" s="278">
        <f ca="1">IFERROR(__xludf.DUMMYFUNCTION("SUM(filter('1. Invulsheet medewerkers'!$E$16:$E$50,'1. Invulsheet medewerkers'!$C$16:$C$50&lt;=5))"),9.2)</f>
        <v>9.1999999999999993</v>
      </c>
      <c r="H18" s="278">
        <f ca="1">IFERROR(__xludf.DUMMYFUNCTION("SUM(filter('1. Invulsheet medewerkers'!$E$16:$E$50,'1. Invulsheet medewerkers'!$C$16:$C$50&lt;=6))"),9.2)</f>
        <v>9.1999999999999993</v>
      </c>
      <c r="I18" s="278">
        <f ca="1">IFERROR(__xludf.DUMMYFUNCTION("SUM(filter('1. Invulsheet medewerkers'!$E$16:$E$50,'1. Invulsheet medewerkers'!$C$16:$C$50&lt;=7))"),10)</f>
        <v>10</v>
      </c>
      <c r="J18" s="278">
        <f ca="1">IFERROR(__xludf.DUMMYFUNCTION("SUM(filter('1. Invulsheet medewerkers'!$E$16:$E$50,'1. Invulsheet medewerkers'!$C$16:$C$50&lt;=8))"),10)</f>
        <v>10</v>
      </c>
      <c r="K18" s="278">
        <f ca="1">IFERROR(__xludf.DUMMYFUNCTION("SUM(filter('1. Invulsheet medewerkers'!$E$16:$E$50,'1. Invulsheet medewerkers'!$C$16:$C$50&lt;=9))"),10)</f>
        <v>10</v>
      </c>
      <c r="L18" s="278">
        <f ca="1">IFERROR(__xludf.DUMMYFUNCTION("SUM(filter('1. Invulsheet medewerkers'!$E$16:$E$50,'1. Invulsheet medewerkers'!$C$16:$C$50&lt;=10))"),10)</f>
        <v>10</v>
      </c>
      <c r="M18" s="278">
        <f ca="1">IFERROR(__xludf.DUMMYFUNCTION("SUM(filter('1. Invulsheet medewerkers'!$E$16:$E$50,'1. Invulsheet medewerkers'!$C$16:$C$50&lt;=11))"),10)</f>
        <v>10</v>
      </c>
      <c r="N18" s="278">
        <f ca="1">IFERROR(__xludf.DUMMYFUNCTION("SUM(filter('1. Invulsheet medewerkers'!$E$16:$E$50,'1. Invulsheet medewerkers'!$C$16:$C$50&lt;=12))"),10)</f>
        <v>10</v>
      </c>
      <c r="O18" s="279">
        <f ca="1">AVERAGE(C18:N18)</f>
        <v>9.0166666666666675</v>
      </c>
      <c r="P18" s="31"/>
      <c r="Q18" s="31"/>
      <c r="R18" s="31"/>
      <c r="S18" s="31"/>
      <c r="T18" s="31"/>
      <c r="U18" s="31"/>
      <c r="V18" s="31"/>
      <c r="W18" s="31"/>
      <c r="X18" s="31"/>
    </row>
    <row r="19" spans="1:24" ht="15.75" customHeight="1" x14ac:dyDescent="0.2">
      <c r="A19" s="35"/>
      <c r="B19" s="280" t="s">
        <v>126</v>
      </c>
      <c r="C19" s="281">
        <f t="shared" ref="C19:N19" ca="1" si="4">C$11/C18</f>
        <v>11386.498407407407</v>
      </c>
      <c r="D19" s="281">
        <f t="shared" ca="1" si="4"/>
        <v>9874.9484166666662</v>
      </c>
      <c r="E19" s="281">
        <f t="shared" ca="1" si="4"/>
        <v>9609.1392268518521</v>
      </c>
      <c r="F19" s="281">
        <f t="shared" ca="1" si="4"/>
        <v>12856.571414634147</v>
      </c>
      <c r="G19" s="281">
        <f t="shared" ca="1" si="4"/>
        <v>11910.528</v>
      </c>
      <c r="H19" s="281">
        <f t="shared" ca="1" si="4"/>
        <v>11749.605333333337</v>
      </c>
      <c r="I19" s="281">
        <f t="shared" ca="1" si="4"/>
        <v>5925.0600533333318</v>
      </c>
      <c r="J19" s="281">
        <f t="shared" ca="1" si="4"/>
        <v>8522.644479999999</v>
      </c>
      <c r="K19" s="281">
        <f t="shared" ca="1" si="4"/>
        <v>10243.32416</v>
      </c>
      <c r="L19" s="281">
        <f t="shared" ca="1" si="4"/>
        <v>11529.175039999998</v>
      </c>
      <c r="M19" s="281">
        <f t="shared" ca="1" si="4"/>
        <v>11032.227840000003</v>
      </c>
      <c r="N19" s="281">
        <f t="shared" ca="1" si="4"/>
        <v>11247.571626666668</v>
      </c>
      <c r="O19" s="282">
        <f ca="1">O$11/$O$18</f>
        <v>125363.99598890942</v>
      </c>
      <c r="P19" s="31"/>
      <c r="Q19" s="31"/>
      <c r="R19" s="31"/>
      <c r="S19" s="31"/>
      <c r="T19" s="31"/>
      <c r="U19" s="31"/>
      <c r="V19" s="31"/>
      <c r="W19" s="31"/>
      <c r="X19" s="31"/>
    </row>
    <row r="20" spans="1:24" ht="15.75" customHeight="1" x14ac:dyDescent="0.2">
      <c r="A20" s="35"/>
      <c r="B20" s="283"/>
      <c r="C20" s="283"/>
      <c r="D20" s="283"/>
      <c r="E20" s="283"/>
      <c r="F20" s="283"/>
      <c r="G20" s="283"/>
      <c r="H20" s="283"/>
      <c r="I20" s="283"/>
      <c r="J20" s="283"/>
      <c r="K20" s="283"/>
      <c r="L20" s="283"/>
      <c r="M20" s="283"/>
      <c r="N20" s="283"/>
      <c r="O20" s="283"/>
      <c r="P20" s="31"/>
      <c r="Q20" s="31"/>
      <c r="R20" s="31"/>
      <c r="S20" s="31"/>
      <c r="T20" s="31"/>
      <c r="U20" s="31"/>
      <c r="V20" s="31"/>
      <c r="W20" s="31"/>
      <c r="X20" s="31"/>
    </row>
    <row r="21" spans="1:24" ht="15.75" customHeight="1" x14ac:dyDescent="0.2">
      <c r="A21" s="35"/>
      <c r="B21" s="284" t="s">
        <v>127</v>
      </c>
      <c r="C21" s="285">
        <f t="shared" ref="C21:O21" ca="1" si="5">C11-C16</f>
        <v>39874.78853333334</v>
      </c>
      <c r="D21" s="285">
        <f t="shared" ca="1" si="5"/>
        <v>28991.628599999996</v>
      </c>
      <c r="E21" s="285">
        <f t="shared" ca="1" si="5"/>
        <v>27077.802433333331</v>
      </c>
      <c r="F21" s="285">
        <f t="shared" ca="1" si="5"/>
        <v>56715.885599999994</v>
      </c>
      <c r="G21" s="285">
        <f t="shared" ca="1" si="5"/>
        <v>56908.857599999988</v>
      </c>
      <c r="H21" s="285">
        <f t="shared" ca="1" si="5"/>
        <v>55428.369066666681</v>
      </c>
      <c r="I21" s="285">
        <f t="shared" ca="1" si="5"/>
        <v>3414.600533333316</v>
      </c>
      <c r="J21" s="285">
        <f t="shared" ca="1" si="5"/>
        <v>29390.444799999997</v>
      </c>
      <c r="K21" s="285">
        <f t="shared" ca="1" si="5"/>
        <v>46597.241600000008</v>
      </c>
      <c r="L21" s="285">
        <f t="shared" ca="1" si="5"/>
        <v>59455.75039999999</v>
      </c>
      <c r="M21" s="285">
        <f t="shared" ca="1" si="5"/>
        <v>54486.278400000025</v>
      </c>
      <c r="N21" s="285">
        <f t="shared" ca="1" si="5"/>
        <v>56639.71626666667</v>
      </c>
      <c r="O21" s="286">
        <f t="shared" ca="1" si="5"/>
        <v>514981.36383333337</v>
      </c>
      <c r="P21" s="31"/>
      <c r="Q21" s="31"/>
      <c r="R21" s="31"/>
      <c r="S21" s="31"/>
      <c r="T21" s="31"/>
      <c r="U21" s="31"/>
      <c r="V21" s="31"/>
      <c r="W21" s="31"/>
      <c r="X21" s="31"/>
    </row>
    <row r="22" spans="1:24" ht="15.75" customHeight="1" x14ac:dyDescent="0.2">
      <c r="A22" s="30"/>
      <c r="B22" s="287" t="s">
        <v>128</v>
      </c>
      <c r="C22" s="288">
        <f t="shared" ref="C22:O22" ca="1" si="6">C16/C11</f>
        <v>0.51362000187245804</v>
      </c>
      <c r="D22" s="288">
        <f t="shared" ca="1" si="6"/>
        <v>0.59223938055845204</v>
      </c>
      <c r="E22" s="288">
        <f t="shared" ca="1" si="6"/>
        <v>0.6086219790624644</v>
      </c>
      <c r="F22" s="288">
        <f t="shared" ca="1" si="6"/>
        <v>0.46202053474682403</v>
      </c>
      <c r="G22" s="288">
        <f t="shared" ca="1" si="6"/>
        <v>0.48064893585705459</v>
      </c>
      <c r="H22" s="288">
        <f t="shared" ca="1" si="6"/>
        <v>0.48723190662877736</v>
      </c>
      <c r="I22" s="288">
        <f t="shared" ca="1" si="6"/>
        <v>0.942370195363466</v>
      </c>
      <c r="J22" s="288">
        <f t="shared" ca="1" si="6"/>
        <v>0.65514876434221503</v>
      </c>
      <c r="K22" s="288">
        <f t="shared" ca="1" si="6"/>
        <v>0.5450964855533772</v>
      </c>
      <c r="L22" s="288">
        <f t="shared" ca="1" si="6"/>
        <v>0.48430178053745643</v>
      </c>
      <c r="M22" s="288">
        <f t="shared" ca="1" si="6"/>
        <v>0.50611717605716156</v>
      </c>
      <c r="N22" s="288">
        <f t="shared" ca="1" si="6"/>
        <v>0.49642715648611141</v>
      </c>
      <c r="O22" s="289">
        <f t="shared" ca="1" si="6"/>
        <v>0.54441158557184455</v>
      </c>
      <c r="P22" s="31"/>
      <c r="Q22" s="31"/>
      <c r="R22" s="31"/>
      <c r="S22" s="31"/>
      <c r="T22" s="31"/>
      <c r="U22" s="31"/>
      <c r="V22" s="31"/>
      <c r="W22" s="31"/>
      <c r="X22" s="31"/>
    </row>
    <row r="23" spans="1:24" ht="15.75" customHeight="1" x14ac:dyDescent="0.2">
      <c r="A23" s="30"/>
      <c r="B23" s="33"/>
      <c r="C23" s="213"/>
      <c r="D23" s="213"/>
      <c r="E23" s="213"/>
      <c r="F23" s="213"/>
      <c r="G23" s="213"/>
      <c r="H23" s="213"/>
      <c r="I23" s="213"/>
      <c r="J23" s="213"/>
      <c r="K23" s="213"/>
      <c r="L23" s="213"/>
      <c r="M23" s="213"/>
      <c r="N23" s="213"/>
      <c r="O23" s="213"/>
      <c r="P23" s="31"/>
      <c r="Q23" s="31"/>
      <c r="R23" s="31"/>
      <c r="S23" s="31"/>
      <c r="T23" s="31"/>
      <c r="U23" s="31"/>
      <c r="V23" s="31"/>
      <c r="W23" s="31"/>
      <c r="X23" s="31"/>
    </row>
    <row r="24" spans="1:24" ht="15.75" customHeight="1" x14ac:dyDescent="0.2">
      <c r="A24" s="290"/>
      <c r="B24" s="291" t="s">
        <v>129</v>
      </c>
      <c r="C24" s="292"/>
      <c r="D24" s="292"/>
      <c r="E24" s="292"/>
      <c r="F24" s="292"/>
      <c r="G24" s="292"/>
      <c r="H24" s="292"/>
      <c r="I24" s="292"/>
      <c r="J24" s="292"/>
      <c r="K24" s="292"/>
      <c r="L24" s="292"/>
      <c r="M24" s="292"/>
      <c r="N24" s="292"/>
      <c r="O24" s="213"/>
      <c r="P24" s="31"/>
      <c r="Q24" s="31"/>
      <c r="R24" s="31"/>
      <c r="S24" s="31"/>
      <c r="T24" s="31"/>
      <c r="U24" s="31"/>
      <c r="V24" s="31"/>
      <c r="W24" s="31"/>
      <c r="X24" s="31"/>
    </row>
    <row r="25" spans="1:24" ht="15.75" customHeight="1" x14ac:dyDescent="0.2">
      <c r="A25" s="30"/>
      <c r="B25" s="33" t="s">
        <v>130</v>
      </c>
      <c r="C25" s="293">
        <v>4000</v>
      </c>
      <c r="D25" s="294">
        <v>4000</v>
      </c>
      <c r="E25" s="294">
        <v>4000</v>
      </c>
      <c r="F25" s="294">
        <v>4000</v>
      </c>
      <c r="G25" s="294">
        <v>4000</v>
      </c>
      <c r="H25" s="294">
        <v>4000</v>
      </c>
      <c r="I25" s="294">
        <v>4000</v>
      </c>
      <c r="J25" s="294">
        <v>4000</v>
      </c>
      <c r="K25" s="294">
        <v>4000</v>
      </c>
      <c r="L25" s="294">
        <v>4000</v>
      </c>
      <c r="M25" s="294">
        <v>4000</v>
      </c>
      <c r="N25" s="295">
        <v>4000</v>
      </c>
      <c r="O25" s="296">
        <f t="shared" ref="O25:O31" si="7">SUM(C25:N25)</f>
        <v>48000</v>
      </c>
      <c r="P25" s="31"/>
      <c r="Q25" s="31"/>
      <c r="R25" s="31"/>
      <c r="S25" s="31"/>
      <c r="T25" s="31"/>
      <c r="U25" s="31"/>
      <c r="V25" s="31"/>
      <c r="W25" s="31"/>
      <c r="X25" s="31"/>
    </row>
    <row r="26" spans="1:24" ht="15.75" customHeight="1" x14ac:dyDescent="0.2">
      <c r="A26" s="30"/>
      <c r="B26" s="33" t="s">
        <v>131</v>
      </c>
      <c r="C26" s="297">
        <v>2000</v>
      </c>
      <c r="D26" s="298">
        <v>2000</v>
      </c>
      <c r="E26" s="298">
        <v>2000</v>
      </c>
      <c r="F26" s="298">
        <v>2000</v>
      </c>
      <c r="G26" s="298">
        <v>2000</v>
      </c>
      <c r="H26" s="298">
        <v>2000</v>
      </c>
      <c r="I26" s="298">
        <v>2000</v>
      </c>
      <c r="J26" s="298">
        <v>2000</v>
      </c>
      <c r="K26" s="298">
        <v>2000</v>
      </c>
      <c r="L26" s="298">
        <v>2000</v>
      </c>
      <c r="M26" s="298">
        <v>2000</v>
      </c>
      <c r="N26" s="299">
        <v>2000</v>
      </c>
      <c r="O26" s="300">
        <f t="shared" si="7"/>
        <v>24000</v>
      </c>
      <c r="P26" s="236"/>
      <c r="Q26" s="236"/>
      <c r="R26" s="236"/>
      <c r="S26" s="236"/>
      <c r="T26" s="236"/>
      <c r="U26" s="236"/>
      <c r="V26" s="236"/>
      <c r="W26" s="236"/>
      <c r="X26" s="236"/>
    </row>
    <row r="27" spans="1:24" ht="15.75" customHeight="1" x14ac:dyDescent="0.2">
      <c r="A27" s="30"/>
      <c r="B27" s="33" t="s">
        <v>132</v>
      </c>
      <c r="C27" s="297">
        <v>3000</v>
      </c>
      <c r="D27" s="298">
        <v>3000</v>
      </c>
      <c r="E27" s="298">
        <v>3000</v>
      </c>
      <c r="F27" s="298">
        <v>3000</v>
      </c>
      <c r="G27" s="298">
        <v>3000</v>
      </c>
      <c r="H27" s="298">
        <v>3000</v>
      </c>
      <c r="I27" s="298">
        <v>3000</v>
      </c>
      <c r="J27" s="298">
        <v>3000</v>
      </c>
      <c r="K27" s="298">
        <v>3000</v>
      </c>
      <c r="L27" s="298">
        <v>3000</v>
      </c>
      <c r="M27" s="298">
        <v>3000</v>
      </c>
      <c r="N27" s="299">
        <v>3000</v>
      </c>
      <c r="O27" s="300">
        <f t="shared" si="7"/>
        <v>36000</v>
      </c>
      <c r="P27" s="236"/>
      <c r="Q27" s="236"/>
      <c r="R27" s="236"/>
      <c r="S27" s="236"/>
      <c r="T27" s="236"/>
      <c r="U27" s="236"/>
      <c r="V27" s="236"/>
      <c r="W27" s="236"/>
      <c r="X27" s="236"/>
    </row>
    <row r="28" spans="1:24" ht="15.75" customHeight="1" x14ac:dyDescent="0.2">
      <c r="A28" s="30"/>
      <c r="B28" s="33" t="s">
        <v>133</v>
      </c>
      <c r="C28" s="297">
        <v>2000</v>
      </c>
      <c r="D28" s="298">
        <v>2000</v>
      </c>
      <c r="E28" s="298">
        <v>2000</v>
      </c>
      <c r="F28" s="298">
        <v>2000</v>
      </c>
      <c r="G28" s="298">
        <v>2000</v>
      </c>
      <c r="H28" s="298">
        <v>2000</v>
      </c>
      <c r="I28" s="298">
        <v>2000</v>
      </c>
      <c r="J28" s="298">
        <v>2000</v>
      </c>
      <c r="K28" s="298">
        <v>2000</v>
      </c>
      <c r="L28" s="298">
        <v>2000</v>
      </c>
      <c r="M28" s="298">
        <v>2000</v>
      </c>
      <c r="N28" s="299">
        <v>2000</v>
      </c>
      <c r="O28" s="300">
        <f t="shared" si="7"/>
        <v>24000</v>
      </c>
      <c r="P28" s="236"/>
      <c r="Q28" s="236"/>
      <c r="R28" s="236"/>
      <c r="S28" s="236"/>
      <c r="T28" s="236"/>
      <c r="U28" s="236"/>
      <c r="V28" s="236"/>
      <c r="W28" s="236"/>
      <c r="X28" s="236"/>
    </row>
    <row r="29" spans="1:24" ht="15.75" customHeight="1" x14ac:dyDescent="0.2">
      <c r="A29" s="30"/>
      <c r="B29" s="33" t="s">
        <v>134</v>
      </c>
      <c r="C29" s="297">
        <v>1500</v>
      </c>
      <c r="D29" s="298">
        <v>1500</v>
      </c>
      <c r="E29" s="298">
        <v>1500</v>
      </c>
      <c r="F29" s="298">
        <v>1500</v>
      </c>
      <c r="G29" s="298">
        <v>1500</v>
      </c>
      <c r="H29" s="298">
        <v>1500</v>
      </c>
      <c r="I29" s="298">
        <v>1500</v>
      </c>
      <c r="J29" s="298">
        <v>1500</v>
      </c>
      <c r="K29" s="298">
        <v>1500</v>
      </c>
      <c r="L29" s="298">
        <v>1500</v>
      </c>
      <c r="M29" s="298">
        <v>1500</v>
      </c>
      <c r="N29" s="299">
        <v>1500</v>
      </c>
      <c r="O29" s="300">
        <f t="shared" si="7"/>
        <v>18000</v>
      </c>
      <c r="P29" s="236"/>
      <c r="Q29" s="236"/>
      <c r="R29" s="236"/>
      <c r="S29" s="236"/>
      <c r="T29" s="236"/>
      <c r="U29" s="236"/>
      <c r="V29" s="236"/>
      <c r="W29" s="236"/>
      <c r="X29" s="236"/>
    </row>
    <row r="30" spans="1:24" ht="15.75" customHeight="1" x14ac:dyDescent="0.2">
      <c r="A30" s="30"/>
      <c r="B30" s="33" t="s">
        <v>135</v>
      </c>
      <c r="C30" s="301">
        <v>3000</v>
      </c>
      <c r="D30" s="302">
        <v>3000</v>
      </c>
      <c r="E30" s="302">
        <v>3000</v>
      </c>
      <c r="F30" s="302">
        <v>3000</v>
      </c>
      <c r="G30" s="302">
        <v>3000</v>
      </c>
      <c r="H30" s="302">
        <v>3000</v>
      </c>
      <c r="I30" s="302">
        <v>3000</v>
      </c>
      <c r="J30" s="302">
        <v>3000</v>
      </c>
      <c r="K30" s="302">
        <v>3000</v>
      </c>
      <c r="L30" s="302">
        <v>3000</v>
      </c>
      <c r="M30" s="302">
        <v>3000</v>
      </c>
      <c r="N30" s="303">
        <v>3000</v>
      </c>
      <c r="O30" s="304">
        <f t="shared" si="7"/>
        <v>36000</v>
      </c>
      <c r="P30" s="236"/>
      <c r="Q30" s="236"/>
      <c r="R30" s="236"/>
      <c r="S30" s="236"/>
      <c r="T30" s="236"/>
      <c r="U30" s="236"/>
      <c r="V30" s="236"/>
      <c r="W30" s="236"/>
      <c r="X30" s="236"/>
    </row>
    <row r="31" spans="1:24" ht="21" customHeight="1" x14ac:dyDescent="0.2">
      <c r="A31" s="244"/>
      <c r="B31" s="305" t="s">
        <v>136</v>
      </c>
      <c r="C31" s="306">
        <f t="shared" ref="C31:N31" si="8">SUM(C25:C30)</f>
        <v>15500</v>
      </c>
      <c r="D31" s="306">
        <f t="shared" si="8"/>
        <v>15500</v>
      </c>
      <c r="E31" s="306">
        <f t="shared" si="8"/>
        <v>15500</v>
      </c>
      <c r="F31" s="306">
        <f t="shared" si="8"/>
        <v>15500</v>
      </c>
      <c r="G31" s="306">
        <f t="shared" si="8"/>
        <v>15500</v>
      </c>
      <c r="H31" s="306">
        <f t="shared" si="8"/>
        <v>15500</v>
      </c>
      <c r="I31" s="306">
        <f t="shared" si="8"/>
        <v>15500</v>
      </c>
      <c r="J31" s="306">
        <f t="shared" si="8"/>
        <v>15500</v>
      </c>
      <c r="K31" s="306">
        <f t="shared" si="8"/>
        <v>15500</v>
      </c>
      <c r="L31" s="306">
        <f t="shared" si="8"/>
        <v>15500</v>
      </c>
      <c r="M31" s="306">
        <f t="shared" si="8"/>
        <v>15500</v>
      </c>
      <c r="N31" s="306">
        <f t="shared" si="8"/>
        <v>15500</v>
      </c>
      <c r="O31" s="307">
        <f t="shared" si="7"/>
        <v>186000</v>
      </c>
      <c r="P31" s="236"/>
      <c r="Q31" s="236"/>
      <c r="R31" s="236"/>
      <c r="S31" s="236"/>
      <c r="T31" s="236"/>
      <c r="U31" s="236"/>
      <c r="V31" s="236"/>
      <c r="W31" s="236"/>
      <c r="X31" s="236"/>
    </row>
    <row r="32" spans="1:24" ht="15.75" customHeight="1" x14ac:dyDescent="0.2">
      <c r="A32" s="30"/>
      <c r="B32" s="308"/>
      <c r="C32" s="213"/>
      <c r="D32" s="213"/>
      <c r="E32" s="213"/>
      <c r="F32" s="213"/>
      <c r="G32" s="213"/>
      <c r="H32" s="213"/>
      <c r="I32" s="213"/>
      <c r="J32" s="213"/>
      <c r="K32" s="213"/>
      <c r="L32" s="213"/>
      <c r="M32" s="213"/>
      <c r="N32" s="213"/>
      <c r="O32" s="213"/>
      <c r="P32" s="236"/>
      <c r="Q32" s="236"/>
      <c r="R32" s="236"/>
      <c r="S32" s="236"/>
      <c r="T32" s="236"/>
      <c r="U32" s="236"/>
      <c r="V32" s="236"/>
      <c r="W32" s="236"/>
      <c r="X32" s="236"/>
    </row>
    <row r="33" spans="1:24" ht="24.75" customHeight="1" x14ac:dyDescent="0.2">
      <c r="A33" s="244"/>
      <c r="B33" s="305" t="s">
        <v>137</v>
      </c>
      <c r="C33" s="309">
        <f t="shared" ref="C33:O33" ca="1" si="9">C21-C31</f>
        <v>24374.78853333334</v>
      </c>
      <c r="D33" s="309">
        <f t="shared" ca="1" si="9"/>
        <v>13491.628599999996</v>
      </c>
      <c r="E33" s="309">
        <f t="shared" ca="1" si="9"/>
        <v>11577.802433333331</v>
      </c>
      <c r="F33" s="309">
        <f t="shared" ca="1" si="9"/>
        <v>41215.885599999994</v>
      </c>
      <c r="G33" s="309">
        <f t="shared" ca="1" si="9"/>
        <v>41408.857599999988</v>
      </c>
      <c r="H33" s="309">
        <f t="shared" ca="1" si="9"/>
        <v>39928.369066666681</v>
      </c>
      <c r="I33" s="309">
        <f t="shared" ca="1" si="9"/>
        <v>-12085.399466666684</v>
      </c>
      <c r="J33" s="309">
        <f t="shared" ca="1" si="9"/>
        <v>13890.444799999997</v>
      </c>
      <c r="K33" s="309">
        <f t="shared" ca="1" si="9"/>
        <v>31097.241600000008</v>
      </c>
      <c r="L33" s="309">
        <f t="shared" ca="1" si="9"/>
        <v>43955.75039999999</v>
      </c>
      <c r="M33" s="309">
        <f t="shared" ca="1" si="9"/>
        <v>38986.278400000025</v>
      </c>
      <c r="N33" s="309">
        <f t="shared" ca="1" si="9"/>
        <v>41139.71626666667</v>
      </c>
      <c r="O33" s="310">
        <f t="shared" ca="1" si="9"/>
        <v>328981.36383333337</v>
      </c>
      <c r="P33" s="236"/>
      <c r="Q33" s="236"/>
      <c r="R33" s="236"/>
      <c r="S33" s="236"/>
      <c r="T33" s="236"/>
      <c r="U33" s="236"/>
      <c r="V33" s="236"/>
      <c r="W33" s="236"/>
      <c r="X33" s="236"/>
    </row>
    <row r="34" spans="1:24" ht="15.75" customHeight="1" x14ac:dyDescent="0.2">
      <c r="A34" s="30"/>
      <c r="B34" s="30"/>
      <c r="C34" s="213"/>
      <c r="D34" s="213"/>
      <c r="E34" s="213"/>
      <c r="F34" s="213"/>
      <c r="G34" s="213"/>
      <c r="H34" s="213"/>
      <c r="I34" s="213"/>
      <c r="J34" s="213"/>
      <c r="K34" s="213"/>
      <c r="L34" s="213"/>
      <c r="M34" s="213"/>
      <c r="N34" s="213"/>
      <c r="O34" s="311"/>
      <c r="P34" s="236"/>
      <c r="Q34" s="236"/>
      <c r="R34" s="236"/>
      <c r="S34" s="236"/>
      <c r="T34" s="236"/>
      <c r="U34" s="236"/>
      <c r="V34" s="236"/>
      <c r="W34" s="236"/>
      <c r="X34" s="236"/>
    </row>
    <row r="35" spans="1:24" ht="15.7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4" ht="1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row>
    <row r="37" spans="1:24" ht="15"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row>
    <row r="38" spans="1:24" ht="1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row>
    <row r="39" spans="1:24" ht="1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4" ht="15"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row>
    <row r="41" spans="1:24" ht="15" customHeight="1"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row>
    <row r="42" spans="1:24" ht="15"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row>
    <row r="43" spans="1:24" ht="15"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row>
    <row r="44" spans="1:24" ht="1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row>
    <row r="45" spans="1:24" ht="15"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row>
    <row r="46" spans="1:24" ht="15"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row>
    <row r="47" spans="1:24" ht="15"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row>
    <row r="48" spans="1:24" ht="15"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row>
  </sheetData>
  <mergeCells count="2">
    <mergeCell ref="B2:C2"/>
    <mergeCell ref="B5:M5"/>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outlinePr summaryBelow="0" summaryRight="0"/>
  </sheetPr>
  <dimension ref="A1:M35"/>
  <sheetViews>
    <sheetView workbookViewId="0">
      <selection activeCell="C20" sqref="C20"/>
    </sheetView>
  </sheetViews>
  <sheetFormatPr baseColWidth="10" defaultColWidth="14.5" defaultRowHeight="15" customHeight="1" x14ac:dyDescent="0.2"/>
  <cols>
    <col min="1" max="1" width="4.83203125" customWidth="1"/>
    <col min="2" max="2" width="53" customWidth="1"/>
    <col min="3" max="3" width="46.83203125" customWidth="1"/>
    <col min="4" max="4" width="48.5" customWidth="1"/>
    <col min="5" max="5" width="50.5" customWidth="1"/>
  </cols>
  <sheetData>
    <row r="1" spans="1:13" ht="22.5" customHeight="1" x14ac:dyDescent="0.2">
      <c r="A1" s="312"/>
      <c r="B1" s="313"/>
      <c r="C1" s="313"/>
      <c r="D1" s="313"/>
      <c r="E1" s="314"/>
      <c r="F1" s="314"/>
      <c r="G1" s="314"/>
      <c r="H1" s="314"/>
      <c r="I1" s="314"/>
      <c r="J1" s="314"/>
      <c r="K1" s="314"/>
      <c r="L1" s="314"/>
      <c r="M1" s="314"/>
    </row>
    <row r="2" spans="1:13" ht="33" customHeight="1" x14ac:dyDescent="0.2">
      <c r="A2" s="312"/>
      <c r="B2" s="361"/>
      <c r="C2" s="343"/>
      <c r="D2" s="313"/>
      <c r="E2" s="314"/>
      <c r="F2" s="314"/>
      <c r="G2" s="314"/>
      <c r="H2" s="314"/>
      <c r="I2" s="314"/>
      <c r="J2" s="314"/>
      <c r="K2" s="314"/>
      <c r="L2" s="314"/>
      <c r="M2" s="314"/>
    </row>
    <row r="3" spans="1:13" ht="19.5" customHeight="1" x14ac:dyDescent="0.2">
      <c r="A3" s="312"/>
      <c r="B3" s="313"/>
      <c r="C3" s="313"/>
      <c r="D3" s="313"/>
      <c r="E3" s="314"/>
      <c r="F3" s="314"/>
      <c r="G3" s="314"/>
      <c r="H3" s="314"/>
      <c r="I3" s="314"/>
      <c r="J3" s="314"/>
      <c r="K3" s="314"/>
      <c r="L3" s="314"/>
      <c r="M3" s="314"/>
    </row>
    <row r="4" spans="1:13" ht="37.5" customHeight="1" x14ac:dyDescent="0.2">
      <c r="A4" s="312"/>
      <c r="B4" s="373" t="s">
        <v>0</v>
      </c>
      <c r="C4" s="343"/>
      <c r="D4" s="374"/>
      <c r="E4" s="314"/>
      <c r="F4" s="314"/>
      <c r="G4" s="314"/>
      <c r="H4" s="314"/>
      <c r="I4" s="314"/>
      <c r="J4" s="314"/>
      <c r="K4" s="314"/>
      <c r="L4" s="314"/>
      <c r="M4" s="314"/>
    </row>
    <row r="5" spans="1:13" x14ac:dyDescent="0.2">
      <c r="A5" s="30"/>
      <c r="B5" s="30"/>
      <c r="C5" s="30"/>
      <c r="D5" s="30"/>
      <c r="E5" s="30"/>
      <c r="F5" s="30"/>
      <c r="G5" s="30"/>
      <c r="H5" s="30"/>
      <c r="I5" s="30"/>
      <c r="J5" s="30"/>
      <c r="K5" s="30"/>
      <c r="L5" s="30"/>
      <c r="M5" s="30"/>
    </row>
    <row r="6" spans="1:13" ht="22" x14ac:dyDescent="0.25">
      <c r="A6" s="29"/>
      <c r="B6" s="32" t="s">
        <v>138</v>
      </c>
      <c r="C6" s="30"/>
      <c r="D6" s="30"/>
      <c r="E6" s="30"/>
      <c r="F6" s="30"/>
      <c r="G6" s="30"/>
      <c r="H6" s="30"/>
      <c r="I6" s="30"/>
      <c r="J6" s="30"/>
      <c r="K6" s="30"/>
      <c r="L6" s="30"/>
      <c r="M6" s="30"/>
    </row>
    <row r="7" spans="1:13" x14ac:dyDescent="0.2">
      <c r="A7" s="30"/>
      <c r="B7" s="30"/>
      <c r="C7" s="30"/>
      <c r="D7" s="30"/>
      <c r="E7" s="30"/>
      <c r="F7" s="30"/>
      <c r="G7" s="30"/>
      <c r="H7" s="30"/>
      <c r="I7" s="30"/>
      <c r="J7" s="30"/>
      <c r="K7" s="30"/>
      <c r="L7" s="30"/>
      <c r="M7" s="30"/>
    </row>
    <row r="8" spans="1:13" x14ac:dyDescent="0.2">
      <c r="A8" s="33"/>
      <c r="B8" s="369" t="s">
        <v>139</v>
      </c>
      <c r="C8" s="370"/>
      <c r="D8" s="372"/>
      <c r="E8" s="30"/>
      <c r="F8" s="30"/>
      <c r="G8" s="30"/>
      <c r="H8" s="30"/>
      <c r="I8" s="30"/>
      <c r="J8" s="30"/>
      <c r="K8" s="30"/>
      <c r="L8" s="30"/>
      <c r="M8" s="30"/>
    </row>
    <row r="9" spans="1:13" x14ac:dyDescent="0.2">
      <c r="A9" s="30"/>
      <c r="B9" s="30"/>
      <c r="C9" s="30"/>
      <c r="D9" s="30"/>
      <c r="E9" s="30"/>
      <c r="F9" s="30"/>
      <c r="G9" s="30"/>
      <c r="H9" s="30"/>
      <c r="I9" s="30"/>
      <c r="J9" s="30"/>
      <c r="K9" s="30"/>
      <c r="L9" s="30"/>
      <c r="M9" s="30"/>
    </row>
    <row r="10" spans="1:13" ht="23.25" customHeight="1" x14ac:dyDescent="0.2">
      <c r="A10" s="315"/>
      <c r="B10" s="316" t="s">
        <v>126</v>
      </c>
      <c r="C10" s="317" t="s">
        <v>140</v>
      </c>
      <c r="D10" s="317" t="s">
        <v>42</v>
      </c>
      <c r="E10" s="30"/>
      <c r="F10" s="30"/>
      <c r="G10" s="30"/>
      <c r="H10" s="30"/>
      <c r="I10" s="30"/>
      <c r="J10" s="30"/>
      <c r="K10" s="30"/>
      <c r="L10" s="30"/>
      <c r="M10" s="30"/>
    </row>
    <row r="11" spans="1:13" ht="23.25" customHeight="1" x14ac:dyDescent="0.2">
      <c r="A11" s="318"/>
      <c r="B11" s="319">
        <f ca="1">'3. Begroting'!O19</f>
        <v>125363.99598890942</v>
      </c>
      <c r="C11" s="320">
        <f ca="1">'2a. Productieve uren'!O11/'1. Invulsheet medewerkers'!P51</f>
        <v>0.60551871534195933</v>
      </c>
      <c r="D11" s="321">
        <f ca="1">'2c. Omzet mdw.'!O13/'2a. Productieve uren'!O11</f>
        <v>112.51940656736694</v>
      </c>
      <c r="E11" s="322"/>
      <c r="F11" s="322"/>
      <c r="G11" s="322"/>
      <c r="H11" s="322"/>
      <c r="I11" s="322"/>
      <c r="J11" s="322"/>
      <c r="K11" s="322"/>
      <c r="L11" s="322"/>
      <c r="M11" s="322"/>
    </row>
    <row r="12" spans="1:13" x14ac:dyDescent="0.2">
      <c r="A12" s="30"/>
      <c r="B12" s="30"/>
      <c r="C12" s="30"/>
      <c r="D12" s="30"/>
      <c r="E12" s="30"/>
      <c r="F12" s="30"/>
      <c r="G12" s="30"/>
      <c r="H12" s="30"/>
      <c r="I12" s="30"/>
      <c r="J12" s="30"/>
      <c r="K12" s="30"/>
      <c r="L12" s="30"/>
      <c r="M12" s="30"/>
    </row>
    <row r="13" spans="1:13" ht="24" customHeight="1" x14ac:dyDescent="0.2">
      <c r="A13" s="315"/>
      <c r="B13" s="323" t="s">
        <v>141</v>
      </c>
      <c r="C13" s="324" t="s">
        <v>142</v>
      </c>
      <c r="D13" s="324" t="s">
        <v>143</v>
      </c>
      <c r="E13" s="30"/>
      <c r="F13" s="30"/>
      <c r="G13" s="30"/>
      <c r="H13" s="30"/>
      <c r="I13" s="30"/>
      <c r="J13" s="30"/>
      <c r="K13" s="30"/>
      <c r="L13" s="30"/>
      <c r="M13" s="30"/>
    </row>
    <row r="14" spans="1:13" ht="20.25" customHeight="1" x14ac:dyDescent="0.2">
      <c r="A14" s="325"/>
      <c r="B14" s="326">
        <f ca="1">'3. Begroting'!O16/'3. Begroting'!O8</f>
        <v>0.54441158557184455</v>
      </c>
      <c r="C14" s="327">
        <f ca="1">'2a. Productieve uren'!O11/'1. Invulsheet medewerkers'!P40</f>
        <v>0.80094284841075791</v>
      </c>
      <c r="D14" s="327">
        <f ca="1">'3. Begroting'!O33/'3. Begroting'!O11</f>
        <v>0.2910398481404991</v>
      </c>
      <c r="E14" s="322"/>
      <c r="F14" s="322"/>
      <c r="G14" s="322"/>
      <c r="H14" s="322"/>
      <c r="I14" s="322"/>
      <c r="J14" s="322"/>
      <c r="K14" s="322"/>
      <c r="L14" s="322"/>
      <c r="M14" s="322"/>
    </row>
    <row r="15" spans="1:13" x14ac:dyDescent="0.2">
      <c r="A15" s="328"/>
      <c r="B15" s="328"/>
      <c r="C15" s="328"/>
      <c r="D15" s="328"/>
      <c r="E15" s="328"/>
      <c r="F15" s="328"/>
      <c r="G15" s="328"/>
      <c r="H15" s="328"/>
      <c r="I15" s="328"/>
      <c r="J15" s="328"/>
      <c r="K15" s="328"/>
      <c r="L15" s="328"/>
      <c r="M15" s="328"/>
    </row>
    <row r="16" spans="1:13" ht="24" customHeight="1" x14ac:dyDescent="0.2">
      <c r="A16" s="329"/>
      <c r="B16" s="330" t="s">
        <v>144</v>
      </c>
      <c r="C16" s="331" t="s">
        <v>145</v>
      </c>
      <c r="D16" s="331" t="s">
        <v>146</v>
      </c>
      <c r="E16" s="30"/>
      <c r="F16" s="30"/>
      <c r="G16" s="30"/>
      <c r="H16" s="30"/>
      <c r="I16" s="30"/>
      <c r="J16" s="30"/>
      <c r="K16" s="30"/>
      <c r="L16" s="30"/>
      <c r="M16" s="30"/>
    </row>
    <row r="17" spans="1:13" ht="21.75" customHeight="1" x14ac:dyDescent="0.2">
      <c r="A17" s="332"/>
      <c r="B17" s="333">
        <f ca="1">'3. Begroting'!O16/'1. Invulsheet medewerkers'!Q51</f>
        <v>33.455692073502227</v>
      </c>
      <c r="C17" s="334">
        <f>D17*'1. Invulsheet medewerkers'!Q40</f>
        <v>324.47333333333336</v>
      </c>
      <c r="D17" s="335">
        <f>'2a. Productieve uren'!O9</f>
        <v>2.3333333333333334E-2</v>
      </c>
      <c r="E17" s="322"/>
      <c r="F17" s="322"/>
      <c r="G17" s="322"/>
      <c r="H17" s="322"/>
      <c r="I17" s="322"/>
      <c r="J17" s="322"/>
      <c r="K17" s="322"/>
      <c r="L17" s="322"/>
      <c r="M17" s="322"/>
    </row>
    <row r="18" spans="1:13" x14ac:dyDescent="0.2">
      <c r="A18" s="30"/>
      <c r="B18" s="30"/>
      <c r="C18" s="30"/>
      <c r="D18" s="30"/>
      <c r="E18" s="30"/>
      <c r="F18" s="30"/>
      <c r="G18" s="30"/>
      <c r="H18" s="30"/>
      <c r="I18" s="30"/>
      <c r="J18" s="30"/>
      <c r="K18" s="30"/>
      <c r="L18" s="30"/>
      <c r="M18" s="30"/>
    </row>
    <row r="19" spans="1:13" ht="85.5" customHeight="1" x14ac:dyDescent="0.2">
      <c r="A19" s="33"/>
      <c r="B19" s="375"/>
      <c r="C19" s="140" t="s">
        <v>147</v>
      </c>
      <c r="D19" s="336"/>
      <c r="E19" s="30"/>
      <c r="F19" s="30"/>
      <c r="G19" s="30"/>
      <c r="H19" s="30"/>
      <c r="I19" s="30"/>
      <c r="J19" s="30"/>
      <c r="K19" s="30"/>
      <c r="L19" s="30"/>
      <c r="M19" s="30"/>
    </row>
    <row r="20" spans="1:13" ht="36.75" customHeight="1" x14ac:dyDescent="0.2">
      <c r="A20" s="337"/>
      <c r="B20" s="363"/>
      <c r="C20" s="338" t="s">
        <v>148</v>
      </c>
      <c r="D20" s="339"/>
      <c r="E20" s="30"/>
      <c r="F20" s="30"/>
      <c r="G20" s="30"/>
      <c r="H20" s="30"/>
      <c r="I20" s="30"/>
      <c r="J20" s="30"/>
      <c r="K20" s="30"/>
      <c r="L20" s="30"/>
      <c r="M20" s="30"/>
    </row>
    <row r="21" spans="1:13" ht="25.5" customHeight="1" x14ac:dyDescent="0.2">
      <c r="A21" s="340"/>
      <c r="B21" s="376"/>
      <c r="C21" s="79"/>
      <c r="D21" s="138"/>
      <c r="E21" s="139"/>
      <c r="F21" s="139"/>
      <c r="G21" s="139"/>
      <c r="H21" s="139"/>
      <c r="I21" s="139"/>
      <c r="J21" s="139"/>
      <c r="K21" s="139"/>
      <c r="L21" s="139"/>
      <c r="M21" s="139"/>
    </row>
    <row r="22" spans="1:13" ht="27" customHeight="1" x14ac:dyDescent="0.2">
      <c r="A22" s="30"/>
      <c r="B22" s="30"/>
      <c r="C22" s="341"/>
      <c r="D22" s="341"/>
      <c r="E22" s="30"/>
      <c r="F22" s="30"/>
      <c r="G22" s="30"/>
      <c r="H22" s="30"/>
      <c r="I22" s="30"/>
      <c r="J22" s="30"/>
      <c r="K22" s="30"/>
      <c r="L22" s="30"/>
      <c r="M22" s="30"/>
    </row>
    <row r="23" spans="1:13" ht="27" customHeight="1" x14ac:dyDescent="0.2">
      <c r="A23" s="144"/>
      <c r="B23" s="144"/>
      <c r="C23" s="144"/>
      <c r="D23" s="144"/>
      <c r="E23" s="144"/>
      <c r="F23" s="144"/>
      <c r="G23" s="144"/>
      <c r="H23" s="144"/>
      <c r="I23" s="144"/>
      <c r="J23" s="144"/>
      <c r="K23" s="144"/>
      <c r="L23" s="144"/>
      <c r="M23" s="144"/>
    </row>
    <row r="24" spans="1:13" ht="15" customHeight="1" x14ac:dyDescent="0.2">
      <c r="B24" s="314"/>
      <c r="C24" s="314"/>
      <c r="D24" s="314"/>
      <c r="E24" s="314"/>
      <c r="F24" s="314"/>
      <c r="G24" s="314"/>
      <c r="H24" s="314"/>
      <c r="I24" s="314"/>
      <c r="J24" s="314"/>
      <c r="K24" s="314"/>
      <c r="L24" s="314"/>
      <c r="M24" s="314"/>
    </row>
    <row r="25" spans="1:13" ht="15" customHeight="1" x14ac:dyDescent="0.2">
      <c r="B25" s="314"/>
      <c r="C25" s="314"/>
      <c r="D25" s="314"/>
      <c r="E25" s="314"/>
      <c r="F25" s="314"/>
      <c r="G25" s="314"/>
      <c r="H25" s="314"/>
      <c r="I25" s="314"/>
      <c r="J25" s="314"/>
      <c r="K25" s="314"/>
      <c r="L25" s="314"/>
      <c r="M25" s="314"/>
    </row>
    <row r="26" spans="1:13" ht="15" customHeight="1" x14ac:dyDescent="0.2">
      <c r="B26" s="314"/>
      <c r="C26" s="314"/>
      <c r="D26" s="314"/>
      <c r="E26" s="314"/>
      <c r="F26" s="314"/>
      <c r="G26" s="314"/>
      <c r="H26" s="314"/>
      <c r="I26" s="314"/>
      <c r="J26" s="314"/>
      <c r="K26" s="314"/>
      <c r="L26" s="314"/>
      <c r="M26" s="314"/>
    </row>
    <row r="27" spans="1:13" ht="15" customHeight="1" x14ac:dyDescent="0.2">
      <c r="B27" s="314"/>
      <c r="C27" s="314"/>
      <c r="D27" s="314"/>
      <c r="E27" s="314"/>
      <c r="F27" s="314"/>
      <c r="G27" s="314"/>
      <c r="H27" s="314"/>
      <c r="I27" s="314"/>
      <c r="J27" s="314"/>
      <c r="K27" s="314"/>
      <c r="L27" s="314"/>
      <c r="M27" s="314"/>
    </row>
    <row r="28" spans="1:13" ht="15" customHeight="1" x14ac:dyDescent="0.2">
      <c r="B28" s="30"/>
      <c r="C28" s="30"/>
      <c r="D28" s="30"/>
      <c r="E28" s="30"/>
      <c r="F28" s="30"/>
      <c r="G28" s="30"/>
      <c r="H28" s="30"/>
      <c r="I28" s="30"/>
      <c r="J28" s="30"/>
      <c r="K28" s="30"/>
      <c r="L28" s="30"/>
      <c r="M28" s="30"/>
    </row>
    <row r="29" spans="1:13" ht="15" customHeight="1" x14ac:dyDescent="0.2">
      <c r="B29" s="30"/>
      <c r="C29" s="30"/>
      <c r="D29" s="30"/>
      <c r="E29" s="30"/>
      <c r="F29" s="30"/>
      <c r="G29" s="30"/>
      <c r="H29" s="30"/>
      <c r="I29" s="30"/>
      <c r="J29" s="30"/>
      <c r="K29" s="30"/>
      <c r="L29" s="30"/>
      <c r="M29" s="30"/>
    </row>
    <row r="30" spans="1:13" ht="15" customHeight="1" x14ac:dyDescent="0.2">
      <c r="B30" s="30"/>
      <c r="C30" s="30"/>
      <c r="D30" s="30"/>
      <c r="E30" s="30"/>
      <c r="F30" s="30"/>
      <c r="G30" s="30"/>
      <c r="H30" s="30"/>
      <c r="I30" s="30"/>
      <c r="J30" s="30"/>
      <c r="K30" s="30"/>
      <c r="L30" s="30"/>
      <c r="M30" s="30"/>
    </row>
    <row r="31" spans="1:13" ht="15" customHeight="1" x14ac:dyDescent="0.2">
      <c r="B31" s="30"/>
      <c r="C31" s="30"/>
      <c r="D31" s="30"/>
      <c r="E31" s="30"/>
      <c r="F31" s="30"/>
      <c r="G31" s="30"/>
      <c r="H31" s="30"/>
      <c r="I31" s="30"/>
      <c r="J31" s="30"/>
      <c r="K31" s="30"/>
      <c r="L31" s="30"/>
      <c r="M31" s="30"/>
    </row>
    <row r="32" spans="1:13" ht="15" customHeight="1" x14ac:dyDescent="0.2">
      <c r="B32" s="30"/>
      <c r="C32" s="30"/>
      <c r="D32" s="30"/>
      <c r="E32" s="30"/>
      <c r="F32" s="30"/>
      <c r="G32" s="30"/>
      <c r="H32" s="30"/>
      <c r="I32" s="30"/>
      <c r="J32" s="30"/>
      <c r="K32" s="30"/>
      <c r="L32" s="30"/>
      <c r="M32" s="30"/>
    </row>
    <row r="33" spans="2:13" ht="15" customHeight="1" x14ac:dyDescent="0.2">
      <c r="B33" s="30"/>
      <c r="C33" s="30"/>
      <c r="D33" s="30"/>
      <c r="E33" s="30"/>
      <c r="F33" s="30"/>
      <c r="G33" s="30"/>
      <c r="H33" s="30"/>
      <c r="I33" s="30"/>
      <c r="J33" s="30"/>
      <c r="K33" s="30"/>
      <c r="L33" s="30"/>
      <c r="M33" s="30"/>
    </row>
    <row r="34" spans="2:13" ht="15" customHeight="1" x14ac:dyDescent="0.2">
      <c r="B34" s="322"/>
      <c r="C34" s="322"/>
      <c r="D34" s="322"/>
      <c r="E34" s="322"/>
      <c r="F34" s="322"/>
      <c r="G34" s="322"/>
      <c r="H34" s="322"/>
      <c r="I34" s="322"/>
      <c r="J34" s="322"/>
      <c r="K34" s="322"/>
      <c r="L34" s="322"/>
      <c r="M34" s="322"/>
    </row>
    <row r="35" spans="2:13" ht="15" customHeight="1" x14ac:dyDescent="0.2">
      <c r="B35" s="30"/>
      <c r="C35" s="30"/>
      <c r="D35" s="30"/>
      <c r="E35" s="30"/>
      <c r="F35" s="30"/>
      <c r="G35" s="30"/>
      <c r="H35" s="30"/>
      <c r="I35" s="30"/>
      <c r="J35" s="30"/>
      <c r="K35" s="30"/>
      <c r="L35" s="30"/>
      <c r="M35" s="30"/>
    </row>
  </sheetData>
  <mergeCells count="4">
    <mergeCell ref="B2:C2"/>
    <mergeCell ref="B4:D4"/>
    <mergeCell ref="B8:D8"/>
    <mergeCell ref="B19:B21"/>
  </mergeCells>
  <hyperlinks>
    <hyperlink ref="B4" r:id="rId1" xr:uid="{00000000-0004-0000-0600-000000000000}"/>
    <hyperlink ref="C20" r:id="rId2" xr:uid="{00000000-0004-0000-0600-00000100000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0. Uitleg</vt:lpstr>
      <vt:lpstr>1. Invulsheet medewerkers</vt:lpstr>
      <vt:lpstr>2a. Productieve uren</vt:lpstr>
      <vt:lpstr>2b. Kosten mdw.</vt:lpstr>
      <vt:lpstr>2c. Omzet mdw.</vt:lpstr>
      <vt:lpstr>3. Begroting</vt:lpstr>
      <vt:lpstr>KPIs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pskvandijk@gmail.com</cp:lastModifiedBy>
  <dcterms:created xsi:type="dcterms:W3CDTF">2025-09-03T14:22:29Z</dcterms:created>
  <dcterms:modified xsi:type="dcterms:W3CDTF">2025-09-03T14:22:58Z</dcterms:modified>
</cp:coreProperties>
</file>